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0" yWindow="4920" windowWidth="14310" windowHeight="9795"/>
  </bookViews>
  <sheets>
    <sheet name="Summary" sheetId="1" r:id="rId1"/>
    <sheet name="Detail" sheetId="2" r:id="rId2"/>
  </sheets>
  <definedNames>
    <definedName name="_xlnm._FilterDatabase" localSheetId="1" hidden="1">Detail!$A$3:$N$288</definedName>
    <definedName name="_xlnm._FilterDatabase" localSheetId="0" hidden="1">Summary!$A$3:$Q$59</definedName>
    <definedName name="_xlnm.Print_Area" localSheetId="1">Detail!$A$1:$N$287</definedName>
    <definedName name="_xlnm.Print_Area" localSheetId="0">Summary!$A$1:$Q$59</definedName>
    <definedName name="_xlnm.Print_Titles" localSheetId="1">Detail!$1:$3</definedName>
  </definedNames>
  <calcPr calcId="145621" concurrentCalc="0"/>
</workbook>
</file>

<file path=xl/calcChain.xml><?xml version="1.0" encoding="utf-8"?>
<calcChain xmlns="http://schemas.openxmlformats.org/spreadsheetml/2006/main">
  <c r="C31" i="1" l="1"/>
  <c r="C8" i="1"/>
  <c r="C57" i="1"/>
  <c r="C59" i="1"/>
  <c r="C4" i="1"/>
  <c r="C5" i="1"/>
  <c r="C6" i="1"/>
  <c r="C7" i="1"/>
  <c r="C9" i="1"/>
  <c r="C10" i="1"/>
  <c r="C11" i="1"/>
  <c r="C13" i="1"/>
  <c r="C14" i="1"/>
  <c r="C15" i="1"/>
  <c r="C16" i="1"/>
  <c r="C18" i="1"/>
  <c r="C19" i="1"/>
  <c r="C20" i="1"/>
  <c r="C22" i="1"/>
  <c r="C23" i="1"/>
  <c r="C24" i="1"/>
  <c r="C25" i="1"/>
  <c r="C26" i="1"/>
  <c r="C28" i="1"/>
  <c r="C29" i="1"/>
  <c r="C30" i="1"/>
  <c r="C32" i="1"/>
  <c r="C35" i="1"/>
  <c r="C37" i="1"/>
  <c r="C38" i="1"/>
  <c r="C39" i="1"/>
  <c r="C40" i="1"/>
  <c r="C41" i="1"/>
  <c r="C42" i="1"/>
  <c r="C43" i="1"/>
  <c r="C44" i="1"/>
  <c r="C45" i="1"/>
  <c r="C47" i="1"/>
  <c r="C48" i="1"/>
  <c r="C49" i="1"/>
  <c r="C50" i="1"/>
  <c r="C51" i="1"/>
  <c r="C52" i="1"/>
  <c r="C53" i="1"/>
  <c r="C54" i="1"/>
  <c r="C55" i="1"/>
  <c r="C5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" i="1"/>
  <c r="O56" i="2"/>
  <c r="O57" i="2"/>
  <c r="O58" i="2"/>
  <c r="O59" i="2"/>
  <c r="O60" i="2"/>
  <c r="O61" i="2"/>
  <c r="O62" i="2"/>
  <c r="O63" i="2"/>
  <c r="O64" i="2"/>
  <c r="K65" i="2"/>
  <c r="O65" i="2"/>
  <c r="O66" i="2"/>
  <c r="O67" i="2"/>
  <c r="O68" i="2"/>
  <c r="K69" i="2"/>
  <c r="O69" i="2"/>
  <c r="K70" i="2"/>
  <c r="O70" i="2"/>
  <c r="K71" i="2"/>
  <c r="O71" i="2"/>
  <c r="K72" i="2"/>
  <c r="O72" i="2"/>
  <c r="O73" i="2"/>
  <c r="O74" i="2"/>
  <c r="K75" i="2"/>
  <c r="O75" i="2"/>
  <c r="O76" i="2"/>
  <c r="O77" i="2"/>
  <c r="O78" i="2"/>
  <c r="O79" i="2"/>
  <c r="K80" i="2"/>
  <c r="O80" i="2"/>
  <c r="O81" i="2"/>
  <c r="O82" i="2"/>
  <c r="K83" i="2"/>
  <c r="O83" i="2"/>
  <c r="O84" i="2"/>
  <c r="K85" i="2"/>
  <c r="O85" i="2"/>
  <c r="K86" i="2"/>
  <c r="O86" i="2"/>
  <c r="K87" i="2"/>
  <c r="O87" i="2"/>
  <c r="K88" i="2"/>
  <c r="O88" i="2"/>
  <c r="K89" i="2"/>
  <c r="O89" i="2"/>
  <c r="K90" i="2"/>
  <c r="O90" i="2"/>
  <c r="K91" i="2"/>
  <c r="O91" i="2"/>
  <c r="K92" i="2"/>
  <c r="O92" i="2"/>
  <c r="O93" i="2"/>
  <c r="O94" i="2"/>
  <c r="O95" i="2"/>
  <c r="K96" i="2"/>
  <c r="O96" i="2"/>
  <c r="K97" i="2"/>
  <c r="O97" i="2"/>
  <c r="K98" i="2"/>
  <c r="O98" i="2"/>
  <c r="K99" i="2"/>
  <c r="O99" i="2"/>
  <c r="K100" i="2"/>
  <c r="O100" i="2"/>
  <c r="K101" i="2"/>
  <c r="O101" i="2"/>
  <c r="K102" i="2"/>
  <c r="O102" i="2"/>
  <c r="K103" i="2"/>
  <c r="O103" i="2"/>
  <c r="O104" i="2"/>
  <c r="K105" i="2"/>
  <c r="O105" i="2"/>
  <c r="K106" i="2"/>
  <c r="O106" i="2"/>
  <c r="K107" i="2"/>
  <c r="O107" i="2"/>
  <c r="K108" i="2"/>
  <c r="O108" i="2"/>
  <c r="O109" i="2"/>
  <c r="O110" i="2"/>
  <c r="O111" i="2"/>
  <c r="O112" i="2"/>
  <c r="K113" i="2"/>
  <c r="O113" i="2"/>
  <c r="O114" i="2"/>
  <c r="O115" i="2"/>
  <c r="O116" i="2"/>
  <c r="O117" i="2"/>
  <c r="O118" i="2"/>
  <c r="O119" i="2"/>
  <c r="O120" i="2"/>
  <c r="O121" i="2"/>
  <c r="K122" i="2"/>
  <c r="O122" i="2"/>
  <c r="O123" i="2"/>
  <c r="K124" i="2"/>
  <c r="O124" i="2"/>
  <c r="O125" i="2"/>
  <c r="K126" i="2"/>
  <c r="O126" i="2"/>
  <c r="O127" i="2"/>
  <c r="O128" i="2"/>
  <c r="O129" i="2"/>
  <c r="K130" i="2"/>
  <c r="O130" i="2"/>
  <c r="K131" i="2"/>
  <c r="O131" i="2"/>
  <c r="K132" i="2"/>
  <c r="O132" i="2"/>
  <c r="K133" i="2"/>
  <c r="O133" i="2"/>
  <c r="O134" i="2"/>
  <c r="O135" i="2"/>
  <c r="K136" i="2"/>
  <c r="O136" i="2"/>
  <c r="O137" i="2"/>
  <c r="K138" i="2"/>
  <c r="O138" i="2"/>
  <c r="O139" i="2"/>
  <c r="K140" i="2"/>
  <c r="O140" i="2"/>
  <c r="K141" i="2"/>
  <c r="O141" i="2"/>
  <c r="K142" i="2"/>
  <c r="O142" i="2"/>
  <c r="K143" i="2"/>
  <c r="O143" i="2"/>
  <c r="O144" i="2"/>
  <c r="O145" i="2"/>
  <c r="O146" i="2"/>
  <c r="O147" i="2"/>
  <c r="O148" i="2"/>
  <c r="K149" i="2"/>
  <c r="O149" i="2"/>
  <c r="O150" i="2"/>
  <c r="K151" i="2"/>
  <c r="O151" i="2"/>
  <c r="K152" i="2"/>
  <c r="O152" i="2"/>
  <c r="O153" i="2"/>
  <c r="O154" i="2"/>
  <c r="O155" i="2"/>
  <c r="K156" i="2"/>
  <c r="O156" i="2"/>
  <c r="K157" i="2"/>
  <c r="O157" i="2"/>
  <c r="O158" i="2"/>
  <c r="O159" i="2"/>
  <c r="O160" i="2"/>
  <c r="O161" i="2"/>
  <c r="K162" i="2"/>
  <c r="O162" i="2"/>
  <c r="O163" i="2"/>
  <c r="O164" i="2"/>
  <c r="N165" i="2"/>
  <c r="O165" i="2"/>
  <c r="K166" i="2"/>
  <c r="O166" i="2"/>
  <c r="K167" i="2"/>
  <c r="O167" i="2"/>
  <c r="O168" i="2"/>
  <c r="K169" i="2"/>
  <c r="O169" i="2"/>
  <c r="K170" i="2"/>
  <c r="O170" i="2"/>
  <c r="K171" i="2"/>
  <c r="O171" i="2"/>
  <c r="O172" i="2"/>
  <c r="K173" i="2"/>
  <c r="O173" i="2"/>
  <c r="O174" i="2"/>
  <c r="K175" i="2"/>
  <c r="O175" i="2"/>
  <c r="O176" i="2"/>
  <c r="K177" i="2"/>
  <c r="O177" i="2"/>
  <c r="K178" i="2"/>
  <c r="O178" i="2"/>
  <c r="O179" i="2"/>
  <c r="O180" i="2"/>
  <c r="K181" i="2"/>
  <c r="O181" i="2"/>
  <c r="O182" i="2"/>
  <c r="O183" i="2"/>
  <c r="K184" i="2"/>
  <c r="O184" i="2"/>
  <c r="O185" i="2"/>
  <c r="K186" i="2"/>
  <c r="O186" i="2"/>
  <c r="O187" i="2"/>
  <c r="O188" i="2"/>
  <c r="O189" i="2"/>
  <c r="K190" i="2"/>
  <c r="O190" i="2"/>
  <c r="O191" i="2"/>
  <c r="K192" i="2"/>
  <c r="O192" i="2"/>
  <c r="K193" i="2"/>
  <c r="O193" i="2"/>
  <c r="K194" i="2"/>
  <c r="O194" i="2"/>
  <c r="O195" i="2"/>
  <c r="K196" i="2"/>
  <c r="O196" i="2"/>
  <c r="K197" i="2"/>
  <c r="O197" i="2"/>
  <c r="O198" i="2"/>
  <c r="K199" i="2"/>
  <c r="O199" i="2"/>
  <c r="O200" i="2"/>
  <c r="O201" i="2"/>
  <c r="K202" i="2"/>
  <c r="O202" i="2"/>
  <c r="K203" i="2"/>
  <c r="O203" i="2"/>
  <c r="O204" i="2"/>
  <c r="O205" i="2"/>
  <c r="O206" i="2"/>
  <c r="K207" i="2"/>
  <c r="O207" i="2"/>
  <c r="K208" i="2"/>
  <c r="O208" i="2"/>
  <c r="O209" i="2"/>
  <c r="O210" i="2"/>
  <c r="K211" i="2"/>
  <c r="O211" i="2"/>
  <c r="O212" i="2"/>
  <c r="O213" i="2"/>
  <c r="O214" i="2"/>
  <c r="K215" i="2"/>
  <c r="O215" i="2"/>
  <c r="K216" i="2"/>
  <c r="O216" i="2"/>
  <c r="O217" i="2"/>
  <c r="K218" i="2"/>
  <c r="O218" i="2"/>
  <c r="O219" i="2"/>
  <c r="N220" i="2"/>
  <c r="O220" i="2"/>
  <c r="O221" i="2"/>
  <c r="O222" i="2"/>
  <c r="K223" i="2"/>
  <c r="O223" i="2"/>
  <c r="O224" i="2"/>
  <c r="K225" i="2"/>
  <c r="O225" i="2"/>
  <c r="O226" i="2"/>
  <c r="O227" i="2"/>
  <c r="K228" i="2"/>
  <c r="O228" i="2"/>
  <c r="O229" i="2"/>
  <c r="O230" i="2"/>
  <c r="O231" i="2"/>
  <c r="O232" i="2"/>
  <c r="K233" i="2"/>
  <c r="O233" i="2"/>
  <c r="O234" i="2"/>
  <c r="O235" i="2"/>
  <c r="K236" i="2"/>
  <c r="O236" i="2"/>
  <c r="K237" i="2"/>
  <c r="O237" i="2"/>
  <c r="O238" i="2"/>
  <c r="O239" i="2"/>
  <c r="K240" i="2"/>
  <c r="O240" i="2"/>
  <c r="O241" i="2"/>
  <c r="K242" i="2"/>
  <c r="O242" i="2"/>
  <c r="O243" i="2"/>
  <c r="O244" i="2"/>
  <c r="O245" i="2"/>
  <c r="O246" i="2"/>
  <c r="O247" i="2"/>
  <c r="K248" i="2"/>
  <c r="O248" i="2"/>
  <c r="O249" i="2"/>
  <c r="O250" i="2"/>
  <c r="K251" i="2"/>
  <c r="O251" i="2"/>
  <c r="N252" i="2"/>
  <c r="O252" i="2"/>
  <c r="O253" i="2"/>
  <c r="K254" i="2"/>
  <c r="O254" i="2"/>
  <c r="O255" i="2"/>
  <c r="K256" i="2"/>
  <c r="O256" i="2"/>
  <c r="O257" i="2"/>
  <c r="O258" i="2"/>
  <c r="K259" i="2"/>
  <c r="O259" i="2"/>
  <c r="K260" i="2"/>
  <c r="O260" i="2"/>
  <c r="O261" i="2"/>
  <c r="K262" i="2"/>
  <c r="O262" i="2"/>
  <c r="O263" i="2"/>
  <c r="O264" i="2"/>
  <c r="O265" i="2"/>
  <c r="K266" i="2"/>
  <c r="O266" i="2"/>
  <c r="O267" i="2"/>
  <c r="O268" i="2"/>
  <c r="K269" i="2"/>
  <c r="O269" i="2"/>
  <c r="O270" i="2"/>
  <c r="O271" i="2"/>
  <c r="O272" i="2"/>
  <c r="O273" i="2"/>
  <c r="O274" i="2"/>
  <c r="O275" i="2"/>
  <c r="O276" i="2"/>
  <c r="O277" i="2"/>
  <c r="O278" i="2"/>
  <c r="O21" i="2"/>
  <c r="O24" i="2"/>
  <c r="O28" i="2"/>
  <c r="O29" i="2"/>
  <c r="O30" i="2"/>
  <c r="O32" i="2"/>
  <c r="O46" i="2"/>
  <c r="O48" i="2"/>
  <c r="O49" i="2"/>
  <c r="O51" i="2"/>
  <c r="O53" i="2"/>
  <c r="O55" i="2"/>
  <c r="O6" i="2"/>
  <c r="O7" i="2"/>
  <c r="O10" i="2"/>
  <c r="O12" i="2"/>
  <c r="O13" i="2"/>
  <c r="O15" i="2"/>
  <c r="O16" i="2"/>
  <c r="O18" i="2"/>
  <c r="O19" i="2"/>
  <c r="J281" i="2"/>
  <c r="H220" i="2"/>
  <c r="I35" i="2"/>
  <c r="I196" i="2"/>
  <c r="I98" i="2"/>
  <c r="I42" i="2"/>
  <c r="I167" i="2"/>
  <c r="I41" i="2"/>
  <c r="K54" i="2"/>
  <c r="O54" i="2"/>
  <c r="K31" i="2"/>
  <c r="O31" i="2"/>
  <c r="K40" i="2"/>
  <c r="O40" i="2"/>
  <c r="K22" i="2"/>
  <c r="O22" i="2"/>
  <c r="A1" i="1"/>
  <c r="P32" i="1"/>
  <c r="O4" i="1"/>
  <c r="P38" i="1"/>
  <c r="N22" i="1"/>
  <c r="D5" i="1"/>
  <c r="E5" i="1"/>
  <c r="I5" i="1"/>
  <c r="M5" i="1"/>
  <c r="N5" i="1"/>
  <c r="O5" i="1"/>
  <c r="P5" i="1"/>
  <c r="Q5" i="1"/>
  <c r="D6" i="1"/>
  <c r="E6" i="1"/>
  <c r="K6" i="1"/>
  <c r="I6" i="1"/>
  <c r="M6" i="1"/>
  <c r="K33" i="2"/>
  <c r="O33" i="2"/>
  <c r="O6" i="1"/>
  <c r="P6" i="1"/>
  <c r="Q6" i="1"/>
  <c r="D7" i="1"/>
  <c r="E7" i="1"/>
  <c r="K7" i="1"/>
  <c r="I7" i="1"/>
  <c r="M7" i="1"/>
  <c r="K37" i="2"/>
  <c r="O37" i="2"/>
  <c r="O7" i="1"/>
  <c r="P7" i="1"/>
  <c r="Q7" i="1"/>
  <c r="D8" i="1"/>
  <c r="E8" i="1"/>
  <c r="I8" i="1"/>
  <c r="M8" i="1"/>
  <c r="O8" i="1"/>
  <c r="P8" i="1"/>
  <c r="Q8" i="1"/>
  <c r="D9" i="1"/>
  <c r="E9" i="1"/>
  <c r="I9" i="1"/>
  <c r="M9" i="1"/>
  <c r="N9" i="1"/>
  <c r="O9" i="1"/>
  <c r="P9" i="1"/>
  <c r="Q9" i="1"/>
  <c r="D10" i="1"/>
  <c r="E10" i="1"/>
  <c r="I10" i="1"/>
  <c r="M10" i="1"/>
  <c r="N10" i="1"/>
  <c r="O10" i="1"/>
  <c r="P10" i="1"/>
  <c r="Q10" i="1"/>
  <c r="D11" i="1"/>
  <c r="E11" i="1"/>
  <c r="K11" i="1"/>
  <c r="I11" i="1"/>
  <c r="M11" i="1"/>
  <c r="N11" i="1"/>
  <c r="O11" i="1"/>
  <c r="P11" i="1"/>
  <c r="Q11" i="1"/>
  <c r="D12" i="1"/>
  <c r="E12" i="1"/>
  <c r="I12" i="1"/>
  <c r="M12" i="1"/>
  <c r="N12" i="1"/>
  <c r="O12" i="1"/>
  <c r="P12" i="1"/>
  <c r="Q12" i="1"/>
  <c r="D13" i="1"/>
  <c r="E13" i="1"/>
  <c r="K13" i="1"/>
  <c r="I13" i="1"/>
  <c r="M13" i="1"/>
  <c r="N13" i="1"/>
  <c r="O13" i="1"/>
  <c r="P13" i="1"/>
  <c r="Q13" i="1"/>
  <c r="D14" i="1"/>
  <c r="E14" i="1"/>
  <c r="I14" i="1"/>
  <c r="M14" i="1"/>
  <c r="N14" i="1"/>
  <c r="O14" i="1"/>
  <c r="Q14" i="1"/>
  <c r="D15" i="1"/>
  <c r="E15" i="1"/>
  <c r="K15" i="1"/>
  <c r="I15" i="1"/>
  <c r="M15" i="1"/>
  <c r="N15" i="1"/>
  <c r="O15" i="1"/>
  <c r="P15" i="1"/>
  <c r="Q15" i="1"/>
  <c r="D16" i="1"/>
  <c r="E16" i="1"/>
  <c r="K16" i="1"/>
  <c r="I16" i="1"/>
  <c r="M16" i="1"/>
  <c r="K26" i="2"/>
  <c r="O26" i="2"/>
  <c r="O16" i="1"/>
  <c r="P16" i="1"/>
  <c r="Q16" i="1"/>
  <c r="D17" i="1"/>
  <c r="E17" i="1"/>
  <c r="I17" i="1"/>
  <c r="M17" i="1"/>
  <c r="N17" i="1"/>
  <c r="O17" i="1"/>
  <c r="P17" i="1"/>
  <c r="Q17" i="1"/>
  <c r="D18" i="1"/>
  <c r="E18" i="1"/>
  <c r="K18" i="1"/>
  <c r="I18" i="1"/>
  <c r="M18" i="1"/>
  <c r="N18" i="1"/>
  <c r="O18" i="1"/>
  <c r="P18" i="1"/>
  <c r="Q18" i="1"/>
  <c r="D19" i="1"/>
  <c r="E19" i="1"/>
  <c r="K19" i="1"/>
  <c r="I19" i="1"/>
  <c r="M19" i="1"/>
  <c r="O47" i="2"/>
  <c r="O19" i="1"/>
  <c r="P19" i="1"/>
  <c r="Q19" i="1"/>
  <c r="D20" i="1"/>
  <c r="E20" i="1"/>
  <c r="K20" i="1"/>
  <c r="I20" i="1"/>
  <c r="M20" i="1"/>
  <c r="N20" i="1"/>
  <c r="O20" i="1"/>
  <c r="P20" i="1"/>
  <c r="Q20" i="1"/>
  <c r="D21" i="1"/>
  <c r="E21" i="1"/>
  <c r="K21" i="1"/>
  <c r="I21" i="1"/>
  <c r="M21" i="1"/>
  <c r="N21" i="1"/>
  <c r="O21" i="1"/>
  <c r="P21" i="1"/>
  <c r="Q21" i="1"/>
  <c r="D22" i="1"/>
  <c r="E22" i="1"/>
  <c r="I22" i="1"/>
  <c r="M22" i="1"/>
  <c r="O22" i="1"/>
  <c r="P22" i="1"/>
  <c r="Q22" i="1"/>
  <c r="D23" i="1"/>
  <c r="E23" i="1"/>
  <c r="K23" i="1"/>
  <c r="I23" i="1"/>
  <c r="M23" i="1"/>
  <c r="K34" i="2"/>
  <c r="O34" i="2"/>
  <c r="O23" i="1"/>
  <c r="P23" i="1"/>
  <c r="Q23" i="1"/>
  <c r="D24" i="1"/>
  <c r="E24" i="1"/>
  <c r="K24" i="1"/>
  <c r="I24" i="1"/>
  <c r="M24" i="1"/>
  <c r="K36" i="2"/>
  <c r="O36" i="2"/>
  <c r="O24" i="1"/>
  <c r="P24" i="1"/>
  <c r="Q24" i="1"/>
  <c r="D25" i="1"/>
  <c r="E25" i="1"/>
  <c r="I25" i="1"/>
  <c r="M25" i="1"/>
  <c r="K8" i="2"/>
  <c r="O8" i="2"/>
  <c r="O25" i="1"/>
  <c r="P25" i="1"/>
  <c r="Q25" i="1"/>
  <c r="D26" i="1"/>
  <c r="E26" i="1"/>
  <c r="I26" i="1"/>
  <c r="M26" i="1"/>
  <c r="N26" i="1"/>
  <c r="O26" i="1"/>
  <c r="P26" i="1"/>
  <c r="Q26" i="1"/>
  <c r="D27" i="1"/>
  <c r="E27" i="1"/>
  <c r="K27" i="1"/>
  <c r="I27" i="1"/>
  <c r="M27" i="1"/>
  <c r="O4" i="2"/>
  <c r="K5" i="2"/>
  <c r="O5" i="2"/>
  <c r="K9" i="2"/>
  <c r="O9" i="2"/>
  <c r="K11" i="2"/>
  <c r="O11" i="2"/>
  <c r="K14" i="2"/>
  <c r="O14" i="2"/>
  <c r="K17" i="2"/>
  <c r="O17" i="2"/>
  <c r="K20" i="2"/>
  <c r="O20" i="2"/>
  <c r="K23" i="2"/>
  <c r="O23" i="2"/>
  <c r="K25" i="2"/>
  <c r="O25" i="2"/>
  <c r="K27" i="2"/>
  <c r="O27" i="2"/>
  <c r="K35" i="2"/>
  <c r="O35" i="2"/>
  <c r="K38" i="2"/>
  <c r="O38" i="2"/>
  <c r="K39" i="2"/>
  <c r="O39" i="2"/>
  <c r="N37" i="1"/>
  <c r="K41" i="2"/>
  <c r="O41" i="2"/>
  <c r="K42" i="2"/>
  <c r="O42" i="2"/>
  <c r="K43" i="2"/>
  <c r="O43" i="2"/>
  <c r="K44" i="2"/>
  <c r="O44" i="2"/>
  <c r="K45" i="2"/>
  <c r="O45" i="2"/>
  <c r="K50" i="2"/>
  <c r="O50" i="2"/>
  <c r="K52" i="2"/>
  <c r="O52" i="2"/>
  <c r="K286" i="2"/>
  <c r="O27" i="1"/>
  <c r="P27" i="1"/>
  <c r="Q27" i="1"/>
  <c r="D28" i="1"/>
  <c r="E28" i="1"/>
  <c r="K28" i="1"/>
  <c r="I28" i="1"/>
  <c r="M28" i="1"/>
  <c r="N28" i="1"/>
  <c r="O28" i="1"/>
  <c r="P28" i="1"/>
  <c r="Q28" i="1"/>
  <c r="D29" i="1"/>
  <c r="E29" i="1"/>
  <c r="K29" i="1"/>
  <c r="I29" i="1"/>
  <c r="M29" i="1"/>
  <c r="O29" i="1"/>
  <c r="P29" i="1"/>
  <c r="Q29" i="1"/>
  <c r="D30" i="1"/>
  <c r="E30" i="1"/>
  <c r="K30" i="1"/>
  <c r="I30" i="1"/>
  <c r="M30" i="1"/>
  <c r="O30" i="1"/>
  <c r="P30" i="1"/>
  <c r="Q30" i="1"/>
  <c r="D31" i="1"/>
  <c r="E31" i="1"/>
  <c r="I31" i="1"/>
  <c r="M31" i="1"/>
  <c r="O31" i="1"/>
  <c r="P31" i="1"/>
  <c r="Q31" i="1"/>
  <c r="D32" i="1"/>
  <c r="E32" i="1"/>
  <c r="K32" i="1"/>
  <c r="I32" i="1"/>
  <c r="M32" i="1"/>
  <c r="O32" i="1"/>
  <c r="Q32" i="1"/>
  <c r="D33" i="1"/>
  <c r="E33" i="1"/>
  <c r="K33" i="1"/>
  <c r="I33" i="1"/>
  <c r="M33" i="1"/>
  <c r="N33" i="1"/>
  <c r="O33" i="1"/>
  <c r="P33" i="1"/>
  <c r="Q33" i="1"/>
  <c r="D34" i="1"/>
  <c r="E34" i="1"/>
  <c r="I34" i="1"/>
  <c r="M34" i="1"/>
  <c r="O34" i="1"/>
  <c r="P34" i="1"/>
  <c r="Q34" i="1"/>
  <c r="D35" i="1"/>
  <c r="E35" i="1"/>
  <c r="K35" i="1"/>
  <c r="I35" i="1"/>
  <c r="M35" i="1"/>
  <c r="N35" i="1"/>
  <c r="O35" i="1"/>
  <c r="P35" i="1"/>
  <c r="Q35" i="1"/>
  <c r="D36" i="1"/>
  <c r="E36" i="1"/>
  <c r="K36" i="1"/>
  <c r="I36" i="1"/>
  <c r="M36" i="1"/>
  <c r="O36" i="1"/>
  <c r="P36" i="1"/>
  <c r="Q36" i="1"/>
  <c r="D37" i="1"/>
  <c r="E37" i="1"/>
  <c r="K37" i="1"/>
  <c r="I37" i="1"/>
  <c r="M37" i="1"/>
  <c r="O37" i="1"/>
  <c r="P37" i="1"/>
  <c r="Q37" i="1"/>
  <c r="D38" i="1"/>
  <c r="E38" i="1"/>
  <c r="K38" i="1"/>
  <c r="I38" i="1"/>
  <c r="M38" i="1"/>
  <c r="N38" i="1"/>
  <c r="O38" i="1"/>
  <c r="Q38" i="1"/>
  <c r="D39" i="1"/>
  <c r="E39" i="1"/>
  <c r="K39" i="1"/>
  <c r="I39" i="1"/>
  <c r="M39" i="1"/>
  <c r="O39" i="1"/>
  <c r="P39" i="1"/>
  <c r="Q39" i="1"/>
  <c r="D40" i="1"/>
  <c r="E40" i="1"/>
  <c r="K40" i="1"/>
  <c r="I40" i="1"/>
  <c r="M40" i="1"/>
  <c r="O40" i="1"/>
  <c r="P40" i="1"/>
  <c r="Q40" i="1"/>
  <c r="D41" i="1"/>
  <c r="E41" i="1"/>
  <c r="K41" i="1"/>
  <c r="I41" i="1"/>
  <c r="M41" i="1"/>
  <c r="O41" i="1"/>
  <c r="P41" i="1"/>
  <c r="Q41" i="1"/>
  <c r="D42" i="1"/>
  <c r="E42" i="1"/>
  <c r="K42" i="1"/>
  <c r="I42" i="1"/>
  <c r="M42" i="1"/>
  <c r="N42" i="1"/>
  <c r="O42" i="1"/>
  <c r="P42" i="1"/>
  <c r="Q42" i="1"/>
  <c r="D43" i="1"/>
  <c r="E43" i="1"/>
  <c r="K43" i="1"/>
  <c r="I43" i="1"/>
  <c r="M43" i="1"/>
  <c r="O43" i="1"/>
  <c r="P43" i="1"/>
  <c r="Q43" i="1"/>
  <c r="D44" i="1"/>
  <c r="E44" i="1"/>
  <c r="K44" i="1"/>
  <c r="I44" i="1"/>
  <c r="M44" i="1"/>
  <c r="O44" i="1"/>
  <c r="P44" i="1"/>
  <c r="Q44" i="1"/>
  <c r="D45" i="1"/>
  <c r="E45" i="1"/>
  <c r="K45" i="1"/>
  <c r="I45" i="1"/>
  <c r="M45" i="1"/>
  <c r="O45" i="1"/>
  <c r="P45" i="1"/>
  <c r="Q45" i="1"/>
  <c r="D46" i="1"/>
  <c r="E46" i="1"/>
  <c r="K46" i="1"/>
  <c r="I46" i="1"/>
  <c r="M46" i="1"/>
  <c r="N46" i="1"/>
  <c r="O46" i="1"/>
  <c r="P46" i="1"/>
  <c r="Q46" i="1"/>
  <c r="D47" i="1"/>
  <c r="E47" i="1"/>
  <c r="K47" i="1"/>
  <c r="I47" i="1"/>
  <c r="M47" i="1"/>
  <c r="O47" i="1"/>
  <c r="P47" i="1"/>
  <c r="Q47" i="1"/>
  <c r="D48" i="1"/>
  <c r="E48" i="1"/>
  <c r="K48" i="1"/>
  <c r="I48" i="1"/>
  <c r="M48" i="1"/>
  <c r="O48" i="1"/>
  <c r="P48" i="1"/>
  <c r="Q48" i="1"/>
  <c r="D49" i="1"/>
  <c r="E49" i="1"/>
  <c r="K49" i="1"/>
  <c r="I49" i="1"/>
  <c r="M49" i="1"/>
  <c r="N49" i="1"/>
  <c r="O49" i="1"/>
  <c r="P49" i="1"/>
  <c r="Q49" i="1"/>
  <c r="D50" i="1"/>
  <c r="E50" i="1"/>
  <c r="K50" i="1"/>
  <c r="I50" i="1"/>
  <c r="M50" i="1"/>
  <c r="N50" i="1"/>
  <c r="O50" i="1"/>
  <c r="P50" i="1"/>
  <c r="Q50" i="1"/>
  <c r="D51" i="1"/>
  <c r="E51" i="1"/>
  <c r="K51" i="1"/>
  <c r="I51" i="1"/>
  <c r="M51" i="1"/>
  <c r="N51" i="1"/>
  <c r="O51" i="1"/>
  <c r="P51" i="1"/>
  <c r="Q51" i="1"/>
  <c r="D52" i="1"/>
  <c r="E52" i="1"/>
  <c r="K52" i="1"/>
  <c r="I52" i="1"/>
  <c r="M52" i="1"/>
  <c r="N52" i="1"/>
  <c r="O52" i="1"/>
  <c r="P52" i="1"/>
  <c r="Q52" i="1"/>
  <c r="D53" i="1"/>
  <c r="E53" i="1"/>
  <c r="K53" i="1"/>
  <c r="I53" i="1"/>
  <c r="M53" i="1"/>
  <c r="N53" i="1"/>
  <c r="O53" i="1"/>
  <c r="P53" i="1"/>
  <c r="Q53" i="1"/>
  <c r="D54" i="1"/>
  <c r="E54" i="1"/>
  <c r="K54" i="1"/>
  <c r="I54" i="1"/>
  <c r="M54" i="1"/>
  <c r="N54" i="1"/>
  <c r="O54" i="1"/>
  <c r="P54" i="1"/>
  <c r="Q54" i="1"/>
  <c r="D55" i="1"/>
  <c r="E55" i="1"/>
  <c r="K55" i="1"/>
  <c r="I55" i="1"/>
  <c r="M55" i="1"/>
  <c r="O55" i="1"/>
  <c r="P55" i="1"/>
  <c r="Q55" i="1"/>
  <c r="D56" i="1"/>
  <c r="E56" i="1"/>
  <c r="K56" i="1"/>
  <c r="I56" i="1"/>
  <c r="M56" i="1"/>
  <c r="N56" i="1"/>
  <c r="O56" i="1"/>
  <c r="P56" i="1"/>
  <c r="Q56" i="1"/>
  <c r="D4" i="1"/>
  <c r="E4" i="1"/>
  <c r="K4" i="1"/>
  <c r="I4" i="1"/>
  <c r="M4" i="1"/>
  <c r="Q4" i="1"/>
  <c r="Q58" i="1"/>
  <c r="P58" i="1"/>
  <c r="O58" i="1"/>
  <c r="N58" i="1"/>
  <c r="I58" i="1"/>
  <c r="H58" i="1"/>
  <c r="E58" i="1"/>
  <c r="D58" i="1"/>
  <c r="N281" i="2"/>
  <c r="L281" i="2"/>
  <c r="I281" i="2"/>
  <c r="H281" i="2"/>
  <c r="G281" i="2"/>
  <c r="F281" i="2"/>
  <c r="F286" i="2"/>
  <c r="G286" i="2"/>
  <c r="H286" i="2"/>
  <c r="I286" i="2"/>
  <c r="J286" i="2"/>
  <c r="J287" i="2"/>
  <c r="L286" i="2"/>
  <c r="M286" i="2"/>
  <c r="N286" i="2"/>
  <c r="N48" i="1"/>
  <c r="R48" i="1"/>
  <c r="N36" i="1"/>
  <c r="R36" i="1"/>
  <c r="N24" i="1"/>
  <c r="R24" i="1"/>
  <c r="N19" i="1"/>
  <c r="R19" i="1"/>
  <c r="N6" i="1"/>
  <c r="R6" i="1"/>
  <c r="N44" i="1"/>
  <c r="R44" i="1"/>
  <c r="N30" i="1"/>
  <c r="R30" i="1"/>
  <c r="N40" i="1"/>
  <c r="R40" i="1"/>
  <c r="N23" i="1"/>
  <c r="R23" i="1"/>
  <c r="N8" i="1"/>
  <c r="R8" i="1"/>
  <c r="N31" i="1"/>
  <c r="R31" i="1"/>
  <c r="N16" i="1"/>
  <c r="R16" i="1"/>
  <c r="N7" i="1"/>
  <c r="R7" i="1"/>
  <c r="N55" i="1"/>
  <c r="R55" i="1"/>
  <c r="N43" i="1"/>
  <c r="R43" i="1"/>
  <c r="N32" i="1"/>
  <c r="R32" i="1"/>
  <c r="P4" i="1"/>
  <c r="N47" i="1"/>
  <c r="R47" i="1"/>
  <c r="F287" i="2"/>
  <c r="N287" i="2"/>
  <c r="N39" i="1"/>
  <c r="R39" i="1"/>
  <c r="N29" i="1"/>
  <c r="R29" i="1"/>
  <c r="K281" i="2"/>
  <c r="K287" i="2"/>
  <c r="L287" i="2"/>
  <c r="N27" i="1"/>
  <c r="R27" i="1"/>
  <c r="G287" i="2"/>
  <c r="N34" i="1"/>
  <c r="R34" i="1"/>
  <c r="N25" i="1"/>
  <c r="R25" i="1"/>
  <c r="M281" i="2"/>
  <c r="M287" i="2"/>
  <c r="N4" i="1"/>
  <c r="N45" i="1"/>
  <c r="R45" i="1"/>
  <c r="N41" i="1"/>
  <c r="H287" i="2"/>
  <c r="I287" i="2"/>
  <c r="L42" i="1"/>
  <c r="J48" i="1"/>
  <c r="G48" i="1"/>
  <c r="L28" i="1"/>
  <c r="J7" i="1"/>
  <c r="G7" i="1"/>
  <c r="J30" i="1"/>
  <c r="G30" i="1"/>
  <c r="L24" i="1"/>
  <c r="L21" i="1"/>
  <c r="L19" i="1"/>
  <c r="J9" i="1"/>
  <c r="G9" i="1"/>
  <c r="J32" i="1"/>
  <c r="G32" i="1"/>
  <c r="J37" i="1"/>
  <c r="G37" i="1"/>
  <c r="L30" i="1"/>
  <c r="P14" i="1"/>
  <c r="R14" i="1"/>
  <c r="J45" i="1"/>
  <c r="G45" i="1"/>
  <c r="J13" i="1"/>
  <c r="G13" i="1"/>
  <c r="K9" i="1"/>
  <c r="L9" i="1"/>
  <c r="J58" i="1"/>
  <c r="G58" i="1"/>
  <c r="L54" i="1"/>
  <c r="L38" i="1"/>
  <c r="F58" i="1"/>
  <c r="L56" i="1"/>
  <c r="L52" i="1"/>
  <c r="L51" i="1"/>
  <c r="F45" i="1"/>
  <c r="L44" i="1"/>
  <c r="L40" i="1"/>
  <c r="L36" i="1"/>
  <c r="J35" i="1"/>
  <c r="G35" i="1"/>
  <c r="L32" i="1"/>
  <c r="J31" i="1"/>
  <c r="G31" i="1"/>
  <c r="L20" i="1"/>
  <c r="L15" i="1"/>
  <c r="J11" i="1"/>
  <c r="G11" i="1"/>
  <c r="F10" i="1"/>
  <c r="L6" i="1"/>
  <c r="J54" i="1"/>
  <c r="G54" i="1"/>
  <c r="J50" i="1"/>
  <c r="G50" i="1"/>
  <c r="J42" i="1"/>
  <c r="G42" i="1"/>
  <c r="J38" i="1"/>
  <c r="G38" i="1"/>
  <c r="J19" i="1"/>
  <c r="G19" i="1"/>
  <c r="J10" i="1"/>
  <c r="G10" i="1"/>
  <c r="L48" i="1"/>
  <c r="J41" i="1"/>
  <c r="G41" i="1"/>
  <c r="J33" i="1"/>
  <c r="G33" i="1"/>
  <c r="J26" i="1"/>
  <c r="G26" i="1"/>
  <c r="J24" i="1"/>
  <c r="G24" i="1"/>
  <c r="J21" i="1"/>
  <c r="G21" i="1"/>
  <c r="J16" i="1"/>
  <c r="G16" i="1"/>
  <c r="J44" i="1"/>
  <c r="G44" i="1"/>
  <c r="J15" i="1"/>
  <c r="G15" i="1"/>
  <c r="L27" i="1"/>
  <c r="J36" i="1"/>
  <c r="G36" i="1"/>
  <c r="J47" i="1"/>
  <c r="G47" i="1"/>
  <c r="J40" i="1"/>
  <c r="G40" i="1"/>
  <c r="J20" i="1"/>
  <c r="G20" i="1"/>
  <c r="L7" i="1"/>
  <c r="F39" i="1"/>
  <c r="L33" i="1"/>
  <c r="J29" i="1"/>
  <c r="G29" i="1"/>
  <c r="J18" i="1"/>
  <c r="G18" i="1"/>
  <c r="L43" i="1"/>
  <c r="L11" i="1"/>
  <c r="L50" i="1"/>
  <c r="L46" i="1"/>
  <c r="J27" i="1"/>
  <c r="G27" i="1"/>
  <c r="F50" i="1"/>
  <c r="F22" i="1"/>
  <c r="F40" i="1"/>
  <c r="F36" i="1"/>
  <c r="F55" i="1"/>
  <c r="F47" i="1"/>
  <c r="F35" i="1"/>
  <c r="F31" i="1"/>
  <c r="F11" i="1"/>
  <c r="F56" i="1"/>
  <c r="F20" i="1"/>
  <c r="F18" i="1"/>
  <c r="F12" i="1"/>
  <c r="F8" i="1"/>
  <c r="F53" i="1"/>
  <c r="F49" i="1"/>
  <c r="F41" i="1"/>
  <c r="F37" i="1"/>
  <c r="F33" i="1"/>
  <c r="F26" i="1"/>
  <c r="F21" i="1"/>
  <c r="R42" i="1"/>
  <c r="F48" i="1"/>
  <c r="F15" i="1"/>
  <c r="F4" i="1"/>
  <c r="R52" i="1"/>
  <c r="F43" i="1"/>
  <c r="F28" i="1"/>
  <c r="F25" i="1"/>
  <c r="F17" i="1"/>
  <c r="F5" i="1"/>
  <c r="L45" i="1"/>
  <c r="O57" i="1"/>
  <c r="O59" i="1"/>
  <c r="K34" i="1"/>
  <c r="L34" i="1"/>
  <c r="J56" i="1"/>
  <c r="G56" i="1"/>
  <c r="F24" i="1"/>
  <c r="J46" i="1"/>
  <c r="G46" i="1"/>
  <c r="L29" i="1"/>
  <c r="L35" i="1"/>
  <c r="R54" i="1"/>
  <c r="F54" i="1"/>
  <c r="L53" i="1"/>
  <c r="F42" i="1"/>
  <c r="R38" i="1"/>
  <c r="L37" i="1"/>
  <c r="L23" i="1"/>
  <c r="F16" i="1"/>
  <c r="F14" i="1"/>
  <c r="J6" i="1"/>
  <c r="G6" i="1"/>
  <c r="L55" i="1"/>
  <c r="R51" i="1"/>
  <c r="J34" i="1"/>
  <c r="G34" i="1"/>
  <c r="M57" i="1"/>
  <c r="M59" i="1"/>
  <c r="R56" i="1"/>
  <c r="R53" i="1"/>
  <c r="R50" i="1"/>
  <c r="R46" i="1"/>
  <c r="F44" i="1"/>
  <c r="H57" i="1"/>
  <c r="J52" i="1"/>
  <c r="G52" i="1"/>
  <c r="F51" i="1"/>
  <c r="L16" i="1"/>
  <c r="L47" i="1"/>
  <c r="E57" i="1"/>
  <c r="E59" i="1"/>
  <c r="L13" i="1"/>
  <c r="R21" i="1"/>
  <c r="K17" i="1"/>
  <c r="L17" i="1"/>
  <c r="R17" i="1"/>
  <c r="K8" i="1"/>
  <c r="L8" i="1"/>
  <c r="I57" i="1"/>
  <c r="I59" i="1"/>
  <c r="L39" i="1"/>
  <c r="J55" i="1"/>
  <c r="G55" i="1"/>
  <c r="F46" i="1"/>
  <c r="J39" i="1"/>
  <c r="G39" i="1"/>
  <c r="F38" i="1"/>
  <c r="F30" i="1"/>
  <c r="R26" i="1"/>
  <c r="J22" i="1"/>
  <c r="G22" i="1"/>
  <c r="K22" i="1"/>
  <c r="L22" i="1"/>
  <c r="R22" i="1"/>
  <c r="R13" i="1"/>
  <c r="F13" i="1"/>
  <c r="J8" i="1"/>
  <c r="G8" i="1"/>
  <c r="J51" i="1"/>
  <c r="G51" i="1"/>
  <c r="J43" i="1"/>
  <c r="G43" i="1"/>
  <c r="R35" i="1"/>
  <c r="F34" i="1"/>
  <c r="F29" i="1"/>
  <c r="R20" i="1"/>
  <c r="R15" i="1"/>
  <c r="R11" i="1"/>
  <c r="Q57" i="1"/>
  <c r="Q59" i="1"/>
  <c r="K25" i="1"/>
  <c r="L25" i="1"/>
  <c r="J25" i="1"/>
  <c r="G25" i="1"/>
  <c r="J12" i="1"/>
  <c r="G12" i="1"/>
  <c r="R12" i="1"/>
  <c r="K12" i="1"/>
  <c r="L12" i="1"/>
  <c r="R18" i="1"/>
  <c r="R9" i="1"/>
  <c r="F9" i="1"/>
  <c r="J5" i="1"/>
  <c r="G5" i="1"/>
  <c r="K5" i="1"/>
  <c r="L5" i="1"/>
  <c r="R5" i="1"/>
  <c r="J17" i="1"/>
  <c r="G17" i="1"/>
  <c r="L4" i="1"/>
  <c r="L49" i="1"/>
  <c r="L41" i="1"/>
  <c r="R33" i="1"/>
  <c r="F32" i="1"/>
  <c r="J28" i="1"/>
  <c r="G28" i="1"/>
  <c r="R28" i="1"/>
  <c r="F23" i="1"/>
  <c r="K14" i="1"/>
  <c r="L14" i="1"/>
  <c r="J14" i="1"/>
  <c r="G14" i="1"/>
  <c r="K10" i="1"/>
  <c r="L10" i="1"/>
  <c r="R10" i="1"/>
  <c r="D57" i="1"/>
  <c r="F6" i="1"/>
  <c r="J4" i="1"/>
  <c r="G4" i="1"/>
  <c r="K31" i="1"/>
  <c r="L31" i="1"/>
  <c r="J53" i="1"/>
  <c r="G53" i="1"/>
  <c r="F27" i="1"/>
  <c r="F7" i="1"/>
  <c r="L18" i="1"/>
  <c r="J49" i="1"/>
  <c r="G49" i="1"/>
  <c r="K26" i="1"/>
  <c r="L26" i="1"/>
  <c r="R49" i="1"/>
  <c r="R37" i="1"/>
  <c r="J23" i="1"/>
  <c r="G23" i="1"/>
  <c r="F19" i="1"/>
  <c r="R4" i="1"/>
  <c r="N57" i="1"/>
  <c r="N59" i="1"/>
  <c r="R41" i="1"/>
  <c r="J57" i="1"/>
  <c r="H59" i="1"/>
  <c r="J59" i="1"/>
  <c r="P57" i="1"/>
  <c r="P59" i="1"/>
  <c r="D59" i="1"/>
  <c r="F59" i="1"/>
  <c r="F57" i="1"/>
</calcChain>
</file>

<file path=xl/comments1.xml><?xml version="1.0" encoding="utf-8"?>
<comments xmlns="http://schemas.openxmlformats.org/spreadsheetml/2006/main">
  <authors>
    <author>Mandalyn McGrath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$20,000 moved from AR budget to WV budget
4/3 J. Ellington approved -$25,000 reallocation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$49,000 moved from TX budget to AZ budget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6/30 J.Ellington approved reallocation
12/22 J.Ellington approved reallocation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12/6 J.Ellington approved $20,000 moved from DC budget to MD budget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7/17 J.Ellington approved reallocation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7/11 R.Crawford approved reallocation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7/17 J.Ellington approved reallocation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6/25 J.Ellington approved reallocation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6/24 J.Ellington approved reallocation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$49,000 moved from TX budget to MA budget
4/3 J. Ellington approved $32,500 reallocation
6/25 J.Ellington approved reallocation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12/6 J.Ellington approved $20,000 moved from DC budget to MD budget
4/3 J. Ellington approved $32,500 reallocation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6/24 J.Ellington approved reallocation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7/21 J.Ellington approved reallocation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4/3 J. Ellington approved -$25,000 reallocation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$10,000 moved from MT budget to NY budget
4/3 J. Ellington approved $20,000 reallocation</t>
        </r>
      </text>
    </comment>
    <comment ref="C31" authorId="0">
      <text>
        <r>
          <rPr>
            <b/>
            <sz val="9"/>
            <color indexed="81"/>
            <rFont val="Tahoma"/>
            <charset val="1"/>
          </rPr>
          <t>Mandalyn McGrath:</t>
        </r>
        <r>
          <rPr>
            <sz val="9"/>
            <color indexed="81"/>
            <rFont val="Tahoma"/>
            <charset val="1"/>
          </rPr>
          <t xml:space="preserve">
12/22 J.Ellington approved reallocation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4/1 J.Ellington approved -$15,000 reallocation to Ohio
5/6 J.Ellington approved reallocation
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$10,000 moved from MT budget to NY budget &amp;  $10,000 moved from VI budget to NY budget
6/24 J.Ellington approved reallocation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4/1 J.Ellington approved $15,000 reallocation from New Jersey5/6 J.Ellington approved reallocation
5/6 J.Ellington approved reallocation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J.Ellington approved reallocation 8/20
J.Ellington approved reallocation 12/2/2015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$40,000 moved from PR budget to SC budget
4/3 J. Ellington approved -$40,000 reallocation
5/6 J.Ellington approved reallocation
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4/3 J. Ellington approved -$5,000 reallocation
6/25 J.Ellington approved reallocation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$40,000 moved from PR budget to SC budget
4/3 J. Ellington approved $20,000 reallocation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J.Ellington approved reallocation 12/2/2015
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$49,000 moved from TX budget to AZ and $49,000 moved to MA budget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$10,000 moved from VI budget to NY budget
4/3 J. Ellington approved -$15,000 reallocation5/6 J.Ellington approved reallocation
5/6 J.Ellington approved reallocation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12/4 J.Ellington approved $20,000 moved from AR budget to WV budget
4/3 J. Ellington approved 
$5,000 reallocation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5/6 J.Ellington approved reallocation
J.Ellington approved reallocation 12/2/2015
</t>
        </r>
      </text>
    </comment>
  </commentList>
</comments>
</file>

<file path=xl/sharedStrings.xml><?xml version="1.0" encoding="utf-8"?>
<sst xmlns="http://schemas.openxmlformats.org/spreadsheetml/2006/main" count="989" uniqueCount="157">
  <si>
    <t>State</t>
  </si>
  <si>
    <t>Program Name</t>
  </si>
  <si>
    <t>Budget</t>
  </si>
  <si>
    <t>Requested</t>
  </si>
  <si>
    <t>Program Costs</t>
  </si>
  <si>
    <t>Paid</t>
  </si>
  <si>
    <t>Perkins School for the Blind</t>
  </si>
  <si>
    <t>AZ</t>
  </si>
  <si>
    <t>MA</t>
  </si>
  <si>
    <t>MD</t>
  </si>
  <si>
    <t>SC</t>
  </si>
  <si>
    <t>TX</t>
  </si>
  <si>
    <t>Georgia Council for the Hearing Impaired</t>
  </si>
  <si>
    <t>GA</t>
  </si>
  <si>
    <t>Minnesota Department of Human Services Deaf and Hard of Hearing Service Division</t>
  </si>
  <si>
    <t>MN</t>
  </si>
  <si>
    <t>The Arc of Mississippi</t>
  </si>
  <si>
    <t>MS</t>
  </si>
  <si>
    <t>Access Technologies, Inc.</t>
  </si>
  <si>
    <t>OR</t>
  </si>
  <si>
    <t>Ohio Deaf-Blind Outreach Program</t>
  </si>
  <si>
    <t>OH</t>
  </si>
  <si>
    <t>Florida Telecommunications Relay, Inc.</t>
  </si>
  <si>
    <t>FL</t>
  </si>
  <si>
    <t>Connecticut Tech Act Project</t>
  </si>
  <si>
    <t>CT</t>
  </si>
  <si>
    <t>Vermont Center for the Deaf and Hard of Hearing</t>
  </si>
  <si>
    <t>VT</t>
  </si>
  <si>
    <t>AR</t>
  </si>
  <si>
    <t>MT</t>
  </si>
  <si>
    <t>NM</t>
  </si>
  <si>
    <t>RI</t>
  </si>
  <si>
    <t>WV</t>
  </si>
  <si>
    <t>PR</t>
  </si>
  <si>
    <t>VI</t>
  </si>
  <si>
    <t>Oklahoma Department of Rehabilitation Services</t>
  </si>
  <si>
    <t>OK</t>
  </si>
  <si>
    <t>Island Skill Gathering</t>
  </si>
  <si>
    <t>HI</t>
  </si>
  <si>
    <t>Iowa Utilities Board</t>
  </si>
  <si>
    <t>IA</t>
  </si>
  <si>
    <t>Columbia Lighthouse for the Blind</t>
  </si>
  <si>
    <t>DC</t>
  </si>
  <si>
    <t>Virginia Department for the Deaf and Hard of Hearing</t>
  </si>
  <si>
    <t>VA</t>
  </si>
  <si>
    <t>Department of Social and Health Services - Office of the Deaf and Hard of Hearing</t>
  </si>
  <si>
    <t>WA</t>
  </si>
  <si>
    <t>New Jersey Commission for the Blind and Visually Impaired</t>
  </si>
  <si>
    <t>NJ</t>
  </si>
  <si>
    <t>Interagency Program for Assistive Technology</t>
  </si>
  <si>
    <t>ND</t>
  </si>
  <si>
    <t>Northeast Deaf and Hard of Hearing Services, Inc.</t>
  </si>
  <si>
    <t>NH</t>
  </si>
  <si>
    <t>Affiliated Blind of Louisiana Training Center</t>
  </si>
  <si>
    <t>LA</t>
  </si>
  <si>
    <t>Lighthouse for the Blind and Visually Impaired</t>
  </si>
  <si>
    <t>CA</t>
  </si>
  <si>
    <t>Alabama Institute for the Deaf and Blind</t>
  </si>
  <si>
    <t>AL</t>
  </si>
  <si>
    <t>Indiana State University</t>
  </si>
  <si>
    <t>IN</t>
  </si>
  <si>
    <t>Missouri Assistive Technology</t>
  </si>
  <si>
    <t>MO</t>
  </si>
  <si>
    <t>Institute on Disabilities - Temple University</t>
  </si>
  <si>
    <t>PA</t>
  </si>
  <si>
    <t>Eastern Kentucky University Center on Deafness and Hearing Loss</t>
  </si>
  <si>
    <t>KY</t>
  </si>
  <si>
    <t>Helen Keller National Center for Deaf-Blind Youths and Adults</t>
  </si>
  <si>
    <t>NY</t>
  </si>
  <si>
    <t>University of Delaware - Center for Disabilities Studies</t>
  </si>
  <si>
    <t>DE</t>
  </si>
  <si>
    <t>The Chicago Lighthouse for People Who Are Blind or Visually Impaired</t>
  </si>
  <si>
    <t>IL</t>
  </si>
  <si>
    <t>Nebraska Commission for the Deaf and Hard of Hearing</t>
  </si>
  <si>
    <t>NE</t>
  </si>
  <si>
    <t>University of Idaho - Idaho Assistive Technology Project</t>
  </si>
  <si>
    <t>ID</t>
  </si>
  <si>
    <t>Assistive Technology for Kansas test</t>
  </si>
  <si>
    <t>KS</t>
  </si>
  <si>
    <t>NV</t>
  </si>
  <si>
    <t>Tennessee Regulatory Authority</t>
  </si>
  <si>
    <t>TN</t>
  </si>
  <si>
    <t>Assistive Technology of Alaska</t>
  </si>
  <si>
    <t>AK</t>
  </si>
  <si>
    <t>Colorado Commission for the Deaf and Hard of Hearing</t>
  </si>
  <si>
    <t>Maine Center on Deafness</t>
  </si>
  <si>
    <t>Michigan Commission for the Blind</t>
  </si>
  <si>
    <t>North Carolina Division of Services for the Deaf and the Hard of Hearing</t>
  </si>
  <si>
    <t>South Dakota Department of Human Services</t>
  </si>
  <si>
    <t>Utah Public Service Commission</t>
  </si>
  <si>
    <t>Public Service Commission of Wisconsin</t>
  </si>
  <si>
    <t>Wyoming Institute for Disabilities - University of Wyoming</t>
  </si>
  <si>
    <t>CO</t>
  </si>
  <si>
    <t>ME</t>
  </si>
  <si>
    <t>MI</t>
  </si>
  <si>
    <t>NC</t>
  </si>
  <si>
    <t>SD</t>
  </si>
  <si>
    <t>UT</t>
  </si>
  <si>
    <t>WI</t>
  </si>
  <si>
    <t>WY</t>
  </si>
  <si>
    <t>Pending RLSA</t>
  </si>
  <si>
    <t>Percent of Budget Requested</t>
  </si>
  <si>
    <t>Rejected</t>
  </si>
  <si>
    <t>Administrative Costs</t>
  </si>
  <si>
    <t>Admin</t>
  </si>
  <si>
    <t>Pending Program</t>
  </si>
  <si>
    <t>Pending FCC</t>
  </si>
  <si>
    <t>NO</t>
  </si>
  <si>
    <t>State Totals</t>
  </si>
  <si>
    <t>Expense Period</t>
  </si>
  <si>
    <t>Jan-Mar</t>
  </si>
  <si>
    <t>Oct-Dec</t>
  </si>
  <si>
    <t>July-Sept</t>
  </si>
  <si>
    <t>July</t>
  </si>
  <si>
    <t>September</t>
  </si>
  <si>
    <t>August</t>
  </si>
  <si>
    <t>Internal Request Number</t>
  </si>
  <si>
    <t>Date Received</t>
  </si>
  <si>
    <t>National Outreach Totals</t>
  </si>
  <si>
    <t>Fund Totals</t>
  </si>
  <si>
    <t>Total</t>
  </si>
  <si>
    <t>State Request Totals</t>
  </si>
  <si>
    <t>Apr-Jun</t>
  </si>
  <si>
    <t>Under Review</t>
  </si>
  <si>
    <t>Admin Not Covered By Program Costs</t>
  </si>
  <si>
    <t>Issues Need Corrected</t>
  </si>
  <si>
    <t>NO1</t>
  </si>
  <si>
    <t>NO2</t>
  </si>
  <si>
    <t>NO3</t>
  </si>
  <si>
    <t>NO4</t>
  </si>
  <si>
    <t>Total Paid</t>
  </si>
  <si>
    <t>Amount of Budget Remaining</t>
  </si>
  <si>
    <t>15% Administrative</t>
  </si>
  <si>
    <t>Minnesota Department of Human Services Deaf and Hard of Hearing Division</t>
  </si>
  <si>
    <t>Connecticut Tech Art Project</t>
  </si>
  <si>
    <t>15% of program costs</t>
  </si>
  <si>
    <t>15% - Paid Admin</t>
  </si>
  <si>
    <t>October</t>
  </si>
  <si>
    <t>November</t>
  </si>
  <si>
    <t>December</t>
  </si>
  <si>
    <t>July-Dec</t>
  </si>
  <si>
    <t>Helen Keller National Center for Deaf-Blind Youth and Adults</t>
  </si>
  <si>
    <t>The Chicago Lighthouse For People Who are Blind or Visually Impaired</t>
  </si>
  <si>
    <t>Jul-Dec</t>
  </si>
  <si>
    <t>Assistive Technology of Kansas</t>
  </si>
  <si>
    <t>January</t>
  </si>
  <si>
    <t>February</t>
  </si>
  <si>
    <t>March</t>
  </si>
  <si>
    <t>Michigan Bureau of Services for Blind Persons</t>
  </si>
  <si>
    <t>April</t>
  </si>
  <si>
    <t>May</t>
  </si>
  <si>
    <t xml:space="preserve">May </t>
  </si>
  <si>
    <t>Apr-June</t>
  </si>
  <si>
    <t>June</t>
  </si>
  <si>
    <t>Jan-June</t>
  </si>
  <si>
    <t>Encumbrance</t>
  </si>
  <si>
    <t>Requests Received As Of 02/19/2016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</si>
</sst>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ck">
        <color rgb="FF000099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99"/>
      </right>
      <top/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double">
        <color indexed="64"/>
      </bottom>
      <diagonal/>
    </border>
    <border>
      <left style="thick">
        <color rgb="FF000099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99"/>
      </right>
      <top style="double">
        <color indexed="64"/>
      </top>
      <bottom style="medium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 style="thin">
        <color indexed="64"/>
      </left>
      <right style="thin">
        <color indexed="64"/>
      </right>
      <top/>
      <bottom style="thick">
        <color rgb="FF000099"/>
      </bottom>
      <diagonal/>
    </border>
    <border>
      <left style="thin">
        <color indexed="64"/>
      </left>
      <right style="thick">
        <color rgb="FF000099"/>
      </right>
      <top/>
      <bottom style="thick">
        <color rgb="FF000099"/>
      </bottom>
      <diagonal/>
    </border>
    <border>
      <left style="thick">
        <color rgb="FF000099"/>
      </left>
      <right/>
      <top style="thick">
        <color rgb="FF000099"/>
      </top>
      <bottom style="thin">
        <color indexed="64"/>
      </bottom>
      <diagonal/>
    </border>
    <border>
      <left/>
      <right/>
      <top style="thick">
        <color rgb="FF000099"/>
      </top>
      <bottom style="thin">
        <color indexed="64"/>
      </bottom>
      <diagonal/>
    </border>
    <border>
      <left/>
      <right style="thick">
        <color rgb="FF000099"/>
      </right>
      <top style="thick">
        <color rgb="FF000099"/>
      </top>
      <bottom style="thin">
        <color indexed="64"/>
      </bottom>
      <diagonal/>
    </border>
    <border>
      <left style="thick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ck">
        <color rgb="FF000099"/>
      </right>
      <top style="thin">
        <color indexed="64"/>
      </top>
      <bottom/>
      <diagonal/>
    </border>
    <border>
      <left style="thick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ck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ck">
        <color rgb="FF000099"/>
      </left>
      <right/>
      <top style="double">
        <color rgb="FF000099"/>
      </top>
      <bottom style="medium">
        <color rgb="FF000099"/>
      </bottom>
      <diagonal/>
    </border>
    <border>
      <left/>
      <right/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ck">
        <color rgb="FF000099"/>
      </right>
      <top style="double">
        <color rgb="FF000099"/>
      </top>
      <bottom style="medium">
        <color rgb="FF000099"/>
      </bottom>
      <diagonal/>
    </border>
    <border>
      <left style="thick">
        <color rgb="FF000099"/>
      </left>
      <right style="thin">
        <color indexed="64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medium">
        <color rgb="FF000099"/>
      </top>
      <bottom style="medium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thick">
        <color rgb="FF000099"/>
      </right>
      <top style="thin">
        <color rgb="FF000099"/>
      </top>
      <bottom/>
      <diagonal/>
    </border>
    <border>
      <left style="thick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/>
      <top style="thin">
        <color indexed="64"/>
      </top>
      <bottom style="thin">
        <color rgb="FF000099"/>
      </bottom>
      <diagonal/>
    </border>
    <border>
      <left/>
      <right/>
      <top style="thin">
        <color indexed="64"/>
      </top>
      <bottom style="thin">
        <color rgb="FF000099"/>
      </bottom>
      <diagonal/>
    </border>
    <border>
      <left/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/>
      <top style="thick">
        <color rgb="FF000099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1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1" xfId="0" applyFill="1" applyBorder="1"/>
    <xf numFmtId="44" fontId="0" fillId="0" borderId="1" xfId="1" applyFont="1" applyFill="1" applyBorder="1"/>
    <xf numFmtId="44" fontId="1" fillId="0" borderId="1" xfId="1" applyFont="1" applyFill="1" applyBorder="1"/>
    <xf numFmtId="0" fontId="0" fillId="0" borderId="0" xfId="0" applyFill="1"/>
    <xf numFmtId="44" fontId="0" fillId="0" borderId="0" xfId="1" applyFont="1" applyFill="1"/>
    <xf numFmtId="44" fontId="1" fillId="0" borderId="0" xfId="1" applyFont="1" applyFill="1"/>
    <xf numFmtId="14" fontId="0" fillId="0" borderId="1" xfId="1" applyNumberFormat="1" applyFont="1" applyFill="1" applyBorder="1"/>
    <xf numFmtId="14" fontId="0" fillId="0" borderId="0" xfId="1" applyNumberFormat="1" applyFont="1" applyFill="1"/>
    <xf numFmtId="10" fontId="0" fillId="0" borderId="0" xfId="2" applyNumberFormat="1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44" fontId="0" fillId="0" borderId="4" xfId="1" applyFont="1" applyFill="1" applyBorder="1"/>
    <xf numFmtId="14" fontId="0" fillId="0" borderId="4" xfId="1" applyNumberFormat="1" applyFont="1" applyFill="1" applyBorder="1"/>
    <xf numFmtId="0" fontId="0" fillId="0" borderId="2" xfId="0" applyFill="1" applyBorder="1"/>
    <xf numFmtId="44" fontId="0" fillId="0" borderId="2" xfId="1" applyFont="1" applyFill="1" applyBorder="1"/>
    <xf numFmtId="14" fontId="0" fillId="0" borderId="2" xfId="1" applyNumberFormat="1" applyFont="1" applyFill="1" applyBorder="1"/>
    <xf numFmtId="44" fontId="0" fillId="3" borderId="5" xfId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4" fontId="1" fillId="0" borderId="15" xfId="1" applyFont="1" applyFill="1" applyBorder="1"/>
    <xf numFmtId="0" fontId="0" fillId="0" borderId="16" xfId="0" applyNumberFormat="1" applyFill="1" applyBorder="1" applyAlignment="1">
      <alignment horizontal="center"/>
    </xf>
    <xf numFmtId="44" fontId="1" fillId="0" borderId="17" xfId="1" applyFont="1" applyFill="1" applyBorder="1"/>
    <xf numFmtId="0" fontId="0" fillId="0" borderId="18" xfId="0" applyNumberFormat="1" applyFill="1" applyBorder="1" applyAlignment="1">
      <alignment horizontal="center"/>
    </xf>
    <xf numFmtId="44" fontId="1" fillId="0" borderId="19" xfId="1" applyFont="1" applyFill="1" applyBorder="1"/>
    <xf numFmtId="44" fontId="0" fillId="3" borderId="21" xfId="1" applyFont="1" applyFill="1" applyBorder="1"/>
    <xf numFmtId="0" fontId="0" fillId="0" borderId="22" xfId="0" applyNumberFormat="1" applyFill="1" applyBorder="1" applyAlignment="1">
      <alignment horizontal="center"/>
    </xf>
    <xf numFmtId="44" fontId="0" fillId="3" borderId="25" xfId="1" applyFont="1" applyFill="1" applyBorder="1"/>
    <xf numFmtId="44" fontId="0" fillId="3" borderId="26" xfId="1" applyFont="1" applyFill="1" applyBorder="1"/>
    <xf numFmtId="44" fontId="2" fillId="2" borderId="10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 wrapText="1"/>
    </xf>
    <xf numFmtId="0" fontId="0" fillId="0" borderId="16" xfId="0" applyFill="1" applyBorder="1"/>
    <xf numFmtId="0" fontId="0" fillId="0" borderId="16" xfId="0" applyBorder="1"/>
    <xf numFmtId="10" fontId="0" fillId="3" borderId="25" xfId="2" applyNumberFormat="1" applyFont="1" applyFill="1" applyBorder="1"/>
    <xf numFmtId="0" fontId="0" fillId="0" borderId="14" xfId="0" applyFill="1" applyBorder="1"/>
    <xf numFmtId="0" fontId="0" fillId="0" borderId="2" xfId="0" applyFill="1" applyBorder="1" applyAlignment="1">
      <alignment horizontal="center"/>
    </xf>
    <xf numFmtId="10" fontId="0" fillId="0" borderId="2" xfId="2" applyNumberFormat="1" applyFont="1" applyFill="1" applyBorder="1"/>
    <xf numFmtId="0" fontId="0" fillId="0" borderId="37" xfId="0" applyBorder="1"/>
    <xf numFmtId="0" fontId="0" fillId="0" borderId="7" xfId="0" applyFill="1" applyBorder="1" applyAlignment="1">
      <alignment horizontal="center"/>
    </xf>
    <xf numFmtId="44" fontId="0" fillId="0" borderId="7" xfId="1" applyFont="1" applyFill="1" applyBorder="1"/>
    <xf numFmtId="44" fontId="0" fillId="3" borderId="40" xfId="1" applyFont="1" applyFill="1" applyBorder="1"/>
    <xf numFmtId="10" fontId="0" fillId="3" borderId="40" xfId="2" applyNumberFormat="1" applyFont="1" applyFill="1" applyBorder="1"/>
    <xf numFmtId="44" fontId="0" fillId="3" borderId="41" xfId="1" applyFont="1" applyFill="1" applyBorder="1"/>
    <xf numFmtId="0" fontId="0" fillId="0" borderId="42" xfId="0" applyBorder="1"/>
    <xf numFmtId="0" fontId="0" fillId="0" borderId="43" xfId="0" applyBorder="1" applyAlignment="1">
      <alignment horizontal="center"/>
    </xf>
    <xf numFmtId="44" fontId="0" fillId="0" borderId="43" xfId="1" applyFont="1" applyBorder="1"/>
    <xf numFmtId="0" fontId="0" fillId="0" borderId="1" xfId="0" quotePrefix="1" applyFill="1" applyBorder="1" applyAlignment="1">
      <alignment horizontal="left"/>
    </xf>
    <xf numFmtId="44" fontId="2" fillId="2" borderId="44" xfId="1" applyFont="1" applyFill="1" applyBorder="1" applyAlignment="1">
      <alignment wrapText="1"/>
    </xf>
    <xf numFmtId="44" fontId="2" fillId="2" borderId="10" xfId="1" applyFont="1" applyFill="1" applyBorder="1" applyAlignment="1">
      <alignment wrapText="1"/>
    </xf>
    <xf numFmtId="44" fontId="2" fillId="2" borderId="45" xfId="1" applyFont="1" applyFill="1" applyBorder="1" applyAlignment="1"/>
    <xf numFmtId="44" fontId="2" fillId="2" borderId="35" xfId="1" applyFont="1" applyFill="1" applyBorder="1" applyAlignment="1"/>
    <xf numFmtId="0" fontId="2" fillId="2" borderId="44" xfId="0" applyFont="1" applyFill="1" applyBorder="1" applyAlignment="1"/>
    <xf numFmtId="0" fontId="2" fillId="2" borderId="10" xfId="0" applyFont="1" applyFill="1" applyBorder="1" applyAlignment="1"/>
    <xf numFmtId="0" fontId="2" fillId="2" borderId="44" xfId="0" applyNumberFormat="1" applyFont="1" applyFill="1" applyBorder="1" applyAlignment="1"/>
    <xf numFmtId="0" fontId="2" fillId="2" borderId="10" xfId="0" applyNumberFormat="1" applyFont="1" applyFill="1" applyBorder="1" applyAlignment="1"/>
    <xf numFmtId="44" fontId="2" fillId="2" borderId="44" xfId="1" applyFont="1" applyFill="1" applyBorder="1" applyAlignment="1"/>
    <xf numFmtId="44" fontId="2" fillId="2" borderId="10" xfId="1" applyFont="1" applyFill="1" applyBorder="1" applyAlignment="1"/>
    <xf numFmtId="14" fontId="2" fillId="2" borderId="44" xfId="1" applyNumberFormat="1" applyFont="1" applyFill="1" applyBorder="1" applyAlignment="1"/>
    <xf numFmtId="14" fontId="2" fillId="2" borderId="10" xfId="1" applyNumberFormat="1" applyFont="1" applyFill="1" applyBorder="1" applyAlignment="1"/>
    <xf numFmtId="0" fontId="2" fillId="2" borderId="46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>
      <alignment wrapText="1"/>
    </xf>
    <xf numFmtId="44" fontId="0" fillId="0" borderId="2" xfId="2" applyNumberFormat="1" applyFont="1" applyFill="1" applyBorder="1"/>
    <xf numFmtId="0" fontId="0" fillId="4" borderId="0" xfId="0" applyFill="1"/>
    <xf numFmtId="0" fontId="0" fillId="4" borderId="0" xfId="0" applyNumberFormat="1" applyFill="1" applyAlignment="1">
      <alignment horizontal="center"/>
    </xf>
    <xf numFmtId="44" fontId="0" fillId="4" borderId="0" xfId="1" applyFont="1" applyFill="1"/>
    <xf numFmtId="14" fontId="0" fillId="4" borderId="0" xfId="1" applyNumberFormat="1" applyFont="1" applyFill="1"/>
    <xf numFmtId="44" fontId="1" fillId="4" borderId="0" xfId="1" applyFont="1" applyFill="1"/>
    <xf numFmtId="0" fontId="0" fillId="4" borderId="3" xfId="0" applyFill="1" applyBorder="1"/>
    <xf numFmtId="0" fontId="0" fillId="4" borderId="0" xfId="0" applyFill="1" applyAlignment="1">
      <alignment horizontal="center"/>
    </xf>
    <xf numFmtId="10" fontId="0" fillId="4" borderId="0" xfId="2" applyNumberFormat="1" applyFont="1" applyFill="1"/>
    <xf numFmtId="44" fontId="5" fillId="0" borderId="2" xfId="2" applyNumberFormat="1" applyFont="1" applyFill="1" applyBorder="1"/>
    <xf numFmtId="44" fontId="2" fillId="2" borderId="50" xfId="1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4" fontId="0" fillId="0" borderId="1" xfId="1" applyFont="1" applyFill="1" applyBorder="1"/>
    <xf numFmtId="44" fontId="0" fillId="0" borderId="0" xfId="0" applyNumberFormat="1" applyFill="1"/>
    <xf numFmtId="0" fontId="3" fillId="2" borderId="27" xfId="0" quotePrefix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9" xfId="0" applyBorder="1" applyAlignment="1">
      <alignment horizontal="center"/>
    </xf>
    <xf numFmtId="44" fontId="2" fillId="2" borderId="32" xfId="1" applyFont="1" applyFill="1" applyBorder="1" applyAlignment="1">
      <alignment horizontal="center" wrapText="1"/>
    </xf>
    <xf numFmtId="44" fontId="2" fillId="2" borderId="8" xfId="1" applyFont="1" applyFill="1" applyBorder="1" applyAlignment="1">
      <alignment horizontal="center" wrapText="1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44" fontId="2" fillId="2" borderId="33" xfId="1" applyFont="1" applyFill="1" applyBorder="1" applyAlignment="1">
      <alignment horizontal="center"/>
    </xf>
    <xf numFmtId="44" fontId="2" fillId="2" borderId="35" xfId="1" applyFont="1" applyFill="1" applyBorder="1" applyAlignment="1">
      <alignment horizontal="center"/>
    </xf>
    <xf numFmtId="44" fontId="2" fillId="2" borderId="36" xfId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2" fillId="2" borderId="31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0" fontId="2" fillId="2" borderId="31" xfId="2" applyNumberFormat="1" applyFont="1" applyFill="1" applyBorder="1" applyAlignment="1">
      <alignment horizontal="center" wrapText="1"/>
    </xf>
    <xf numFmtId="10" fontId="2" fillId="2" borderId="10" xfId="2" applyNumberFormat="1" applyFont="1" applyFill="1" applyBorder="1" applyAlignment="1">
      <alignment horizontal="center" wrapText="1"/>
    </xf>
    <xf numFmtId="44" fontId="2" fillId="2" borderId="47" xfId="1" applyFont="1" applyFill="1" applyBorder="1" applyAlignment="1">
      <alignment horizontal="center" wrapText="1"/>
    </xf>
    <xf numFmtId="44" fontId="2" fillId="2" borderId="48" xfId="1" applyFont="1" applyFill="1" applyBorder="1" applyAlignment="1">
      <alignment horizontal="center" wrapText="1"/>
    </xf>
    <xf numFmtId="44" fontId="2" fillId="2" borderId="49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4" fontId="2" fillId="2" borderId="36" xfId="1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3" fillId="2" borderId="11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 wrapText="1"/>
    </xf>
    <xf numFmtId="0" fontId="0" fillId="3" borderId="20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44" fontId="2" fillId="2" borderId="9" xfId="1" applyFont="1" applyFill="1" applyBorder="1" applyAlignment="1">
      <alignment horizontal="center"/>
    </xf>
  </cellXfs>
  <cellStyles count="5">
    <cellStyle name="Currency" xfId="1" builtinId="4"/>
    <cellStyle name="Currency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25C6FF"/>
      <color rgb="FFFF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zoomScaleNormal="100" workbookViewId="0">
      <pane ySplit="3" topLeftCell="A28" activePane="bottomLeft" state="frozen"/>
      <selection pane="bottomLeft" activeCell="C56" sqref="C56"/>
    </sheetView>
  </sheetViews>
  <sheetFormatPr defaultRowHeight="15" x14ac:dyDescent="0.25"/>
  <cols>
    <col min="1" max="1" width="77.42578125" bestFit="1" customWidth="1"/>
    <col min="2" max="2" width="5.5703125" style="12" bestFit="1" customWidth="1"/>
    <col min="3" max="3" width="20" style="1" customWidth="1"/>
    <col min="4" max="4" width="15.140625" style="1" customWidth="1"/>
    <col min="5" max="5" width="14.42578125" style="1" customWidth="1"/>
    <col min="6" max="7" width="13.5703125" style="11" customWidth="1"/>
    <col min="8" max="8" width="18.7109375" style="1" customWidth="1"/>
    <col min="9" max="10" width="14.28515625" style="1" customWidth="1"/>
    <col min="11" max="12" width="14.28515625" style="1" hidden="1" customWidth="1"/>
    <col min="13" max="13" width="14.28515625" style="1" customWidth="1"/>
    <col min="14" max="15" width="14.5703125" style="1" customWidth="1"/>
    <col min="16" max="16" width="14.28515625" style="1" customWidth="1"/>
    <col min="17" max="17" width="12.5703125" style="2" bestFit="1" customWidth="1"/>
    <col min="18" max="18" width="11.28515625" hidden="1" customWidth="1"/>
    <col min="19" max="19" width="12.5703125" bestFit="1" customWidth="1"/>
  </cols>
  <sheetData>
    <row r="1" spans="1:19" ht="15.75" thickTop="1" x14ac:dyDescent="0.25">
      <c r="A1" s="81" t="str">
        <f>Detail!A1</f>
        <v>Requests Received As Of 02/19/2016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2"/>
      <c r="O1" s="82"/>
      <c r="P1" s="82"/>
      <c r="Q1" s="84"/>
    </row>
    <row r="2" spans="1:19" ht="15" customHeight="1" x14ac:dyDescent="0.25">
      <c r="A2" s="98" t="s">
        <v>1</v>
      </c>
      <c r="B2" s="94" t="s">
        <v>0</v>
      </c>
      <c r="C2" s="96" t="s">
        <v>2</v>
      </c>
      <c r="D2" s="93" t="s">
        <v>3</v>
      </c>
      <c r="E2" s="93"/>
      <c r="F2" s="100" t="s">
        <v>101</v>
      </c>
      <c r="G2" s="100" t="s">
        <v>131</v>
      </c>
      <c r="H2" s="102" t="s">
        <v>5</v>
      </c>
      <c r="I2" s="103"/>
      <c r="J2" s="104"/>
      <c r="K2" s="102" t="s">
        <v>132</v>
      </c>
      <c r="L2" s="107"/>
      <c r="M2" s="78" t="s">
        <v>100</v>
      </c>
      <c r="N2" s="104" t="s">
        <v>105</v>
      </c>
      <c r="O2" s="106"/>
      <c r="P2" s="85" t="s">
        <v>106</v>
      </c>
      <c r="Q2" s="91" t="s">
        <v>102</v>
      </c>
    </row>
    <row r="3" spans="1:19" ht="29.25" customHeight="1" thickBot="1" x14ac:dyDescent="0.3">
      <c r="A3" s="99"/>
      <c r="B3" s="95"/>
      <c r="C3" s="97"/>
      <c r="D3" s="35" t="s">
        <v>4</v>
      </c>
      <c r="E3" s="36" t="s">
        <v>103</v>
      </c>
      <c r="F3" s="101"/>
      <c r="G3" s="105"/>
      <c r="H3" s="36" t="s">
        <v>4</v>
      </c>
      <c r="I3" s="36" t="s">
        <v>104</v>
      </c>
      <c r="J3" s="36" t="s">
        <v>130</v>
      </c>
      <c r="K3" s="36" t="s">
        <v>135</v>
      </c>
      <c r="L3" s="36" t="s">
        <v>136</v>
      </c>
      <c r="M3" s="36" t="s">
        <v>123</v>
      </c>
      <c r="N3" s="36" t="s">
        <v>124</v>
      </c>
      <c r="O3" s="36" t="s">
        <v>125</v>
      </c>
      <c r="P3" s="86"/>
      <c r="Q3" s="92"/>
    </row>
    <row r="4" spans="1:19" s="6" customFormat="1" ht="15.75" thickTop="1" x14ac:dyDescent="0.25">
      <c r="A4" s="40" t="s">
        <v>82</v>
      </c>
      <c r="B4" s="41" t="s">
        <v>83</v>
      </c>
      <c r="C4" s="18">
        <f>65772+15000</f>
        <v>80772</v>
      </c>
      <c r="D4" s="18">
        <f>SUMIF(Detail!$C$4:$C$506,Summary!$B4,Detail!$F$4:$F$506)</f>
        <v>66788.860000000015</v>
      </c>
      <c r="E4" s="18">
        <f>SUMIF(Detail!$C$4:$C$506,Summary!$B4,Detail!$G$4:$G$506)</f>
        <v>10976.97</v>
      </c>
      <c r="F4" s="42">
        <f>(SUM($D4:$E4)/$C4)</f>
        <v>0.96278202842569227</v>
      </c>
      <c r="G4" s="76">
        <f t="shared" ref="G4:G35" si="0">SUM(C4-J4)</f>
        <v>3964.8099999999831</v>
      </c>
      <c r="H4" s="18">
        <f>SUMIF(Detail!$C$4:$C$506,Summary!$B4,Detail!$H$4:$H$506)</f>
        <v>66788.860000000015</v>
      </c>
      <c r="I4" s="18">
        <f>SUMIF(Detail!$C$4:$C$506,Summary!$B4,Detail!$I$4:$I$506)</f>
        <v>10018.329999999998</v>
      </c>
      <c r="J4" s="18">
        <f t="shared" ref="J4:J35" si="1">SUM(H4+I4)</f>
        <v>76807.190000000017</v>
      </c>
      <c r="K4" s="18">
        <f t="shared" ref="K4:K35" si="2">SUM(H4*0.15)</f>
        <v>10018.329000000002</v>
      </c>
      <c r="L4" s="18">
        <f t="shared" ref="L4:L35" si="3">SUM(K4-I4)</f>
        <v>-9.9999999656574801E-4</v>
      </c>
      <c r="M4" s="18">
        <f>SUMIF(Detail!$C$4:$C$506,Summary!$B4,Detail!$J$4:$J$506)</f>
        <v>0</v>
      </c>
      <c r="N4" s="18">
        <f>SUMIF(Detail!$C$4:$C$506,Summary!$B4,Detail!$K$4:$K$506)</f>
        <v>958.64</v>
      </c>
      <c r="O4" s="18">
        <f>SUMIF(Detail!$C$4:$C$506,Summary!$B4,Detail!$L$4:$L$506)</f>
        <v>0</v>
      </c>
      <c r="P4" s="18">
        <f>SUMIF(Detail!$C$4:$C$274, Summary!$B4, Detail!$M$4:$M$274)</f>
        <v>0</v>
      </c>
      <c r="Q4" s="26">
        <f>SUMIF(Detail!$C$4:$C$274, Summary!$B4, Detail!$N$4:$N$274)</f>
        <v>0</v>
      </c>
      <c r="R4" s="80">
        <f t="shared" ref="R4:R35" si="4">(D4+E4)-H4-I4-M4-N4-O4-P4-Q4</f>
        <v>3.0695446184836328E-12</v>
      </c>
      <c r="S4" s="80"/>
    </row>
    <row r="5" spans="1:19" s="6" customFormat="1" x14ac:dyDescent="0.25">
      <c r="A5" s="37" t="s">
        <v>57</v>
      </c>
      <c r="B5" s="13" t="s">
        <v>58</v>
      </c>
      <c r="C5" s="4">
        <f>153973+50000</f>
        <v>203973</v>
      </c>
      <c r="D5" s="18">
        <f>SUMIF(Detail!$C$4:$C$506,Summary!$B5,Detail!$F$4:$F$506)</f>
        <v>166813.28999999998</v>
      </c>
      <c r="E5" s="18">
        <f>SUMIF(Detail!$C$4:$C$506,Summary!$B5,Detail!$G$4:$G$506)</f>
        <v>8676.27</v>
      </c>
      <c r="F5" s="42">
        <f t="shared" ref="F5:F58" si="5">(SUM($D5:$E5)/$C5)</f>
        <v>0.86035681193099067</v>
      </c>
      <c r="G5" s="76">
        <f t="shared" si="0"/>
        <v>43048.770000000019</v>
      </c>
      <c r="H5" s="18">
        <f>SUMIF(Detail!$C$4:$C$506,Summary!$B5,Detail!$H$4:$H$506)</f>
        <v>152247.96</v>
      </c>
      <c r="I5" s="18">
        <f>SUMIF(Detail!$C$4:$C$506,Summary!$B5,Detail!$I$4:$I$506)</f>
        <v>8676.27</v>
      </c>
      <c r="J5" s="18">
        <f t="shared" si="1"/>
        <v>160924.22999999998</v>
      </c>
      <c r="K5" s="18">
        <f t="shared" si="2"/>
        <v>22837.194</v>
      </c>
      <c r="L5" s="18">
        <f t="shared" si="3"/>
        <v>14160.923999999999</v>
      </c>
      <c r="M5" s="18">
        <f>SUMIF(Detail!$C$4:$C$506,Summary!$B5,Detail!$J$4:$J$506)</f>
        <v>0</v>
      </c>
      <c r="N5" s="18">
        <f>SUMIF(Detail!$C$4:$C$506,Summary!$B5,Detail!$K$4:$K$506)</f>
        <v>0</v>
      </c>
      <c r="O5" s="18">
        <f>SUMIF(Detail!$C$4:$C$506,Summary!$B5,Detail!$L$4:$L$506)</f>
        <v>0</v>
      </c>
      <c r="P5" s="18">
        <f>SUMIF(Detail!$C$4:$C$274, Summary!$B5, Detail!$M$4:$M$274)</f>
        <v>0</v>
      </c>
      <c r="Q5" s="26">
        <f>SUMIF(Detail!$C$4:$C$274, Summary!$B5, Detail!$N$4:$N$274)</f>
        <v>0</v>
      </c>
      <c r="R5" s="80">
        <f t="shared" si="4"/>
        <v>14565.329999999976</v>
      </c>
      <c r="S5" s="80"/>
    </row>
    <row r="6" spans="1:19" x14ac:dyDescent="0.25">
      <c r="A6" s="38" t="s">
        <v>6</v>
      </c>
      <c r="B6" s="13" t="s">
        <v>28</v>
      </c>
      <c r="C6" s="4">
        <f>SUM(113589-20000-25000)</f>
        <v>68589</v>
      </c>
      <c r="D6" s="18">
        <f>SUMIF(Detail!$C$4:$C$506,Summary!$B6,Detail!$F$4:$F$506)</f>
        <v>58479.73</v>
      </c>
      <c r="E6" s="18">
        <f>SUMIF(Detail!$C$4:$C$506,Summary!$B6,Detail!$G$4:$G$506)</f>
        <v>15247.960000000001</v>
      </c>
      <c r="F6" s="42">
        <f t="shared" si="5"/>
        <v>1.0749200309087463</v>
      </c>
      <c r="G6" s="76">
        <f t="shared" si="0"/>
        <v>1337.3099999999977</v>
      </c>
      <c r="H6" s="18">
        <f>SUMIF(Detail!$C$4:$C$506,Summary!$B6,Detail!$H$4:$H$506)</f>
        <v>58479.73</v>
      </c>
      <c r="I6" s="18">
        <f>SUMIF(Detail!$C$4:$C$506,Summary!$B6,Detail!$I$4:$I$506)</f>
        <v>8771.9599999999991</v>
      </c>
      <c r="J6" s="18">
        <f t="shared" si="1"/>
        <v>67251.69</v>
      </c>
      <c r="K6" s="18">
        <f t="shared" si="2"/>
        <v>8771.9595000000008</v>
      </c>
      <c r="L6" s="18">
        <f t="shared" si="3"/>
        <v>-4.99999998282874E-4</v>
      </c>
      <c r="M6" s="18">
        <f>SUMIF(Detail!$C$4:$C$506,Summary!$B6,Detail!$J$4:$J$506)</f>
        <v>0</v>
      </c>
      <c r="N6" s="18">
        <f>SUMIF(Detail!$C$4:$C$506,Summary!$B6,Detail!$K$4:$K$506)</f>
        <v>6476</v>
      </c>
      <c r="O6" s="18">
        <f>SUMIF(Detail!$C$4:$C$506,Summary!$B6,Detail!$L$4:$L$506)</f>
        <v>0</v>
      </c>
      <c r="P6" s="18">
        <f>SUMIF(Detail!$C$4:$C$274, Summary!$B6, Detail!$M$4:$M$274)</f>
        <v>0</v>
      </c>
      <c r="Q6" s="26">
        <f>SUMIF(Detail!$C$4:$C$274, Summary!$B6, Detail!$N$4:$N$274)</f>
        <v>0</v>
      </c>
      <c r="R6" s="80">
        <f t="shared" si="4"/>
        <v>0</v>
      </c>
      <c r="S6" s="80"/>
    </row>
    <row r="7" spans="1:19" x14ac:dyDescent="0.25">
      <c r="A7" s="37" t="s">
        <v>6</v>
      </c>
      <c r="B7" s="13" t="s">
        <v>7</v>
      </c>
      <c r="C7" s="4">
        <f>SUM(191302 +49000 )</f>
        <v>240302</v>
      </c>
      <c r="D7" s="18">
        <f>SUMIF(Detail!$C$4:$C$506,Summary!$B7,Detail!$F$4:$F$506)</f>
        <v>208932.58000000002</v>
      </c>
      <c r="E7" s="18">
        <f>SUMIF(Detail!$C$4:$C$506,Summary!$B7,Detail!$G$4:$G$506)</f>
        <v>37548.799999999996</v>
      </c>
      <c r="F7" s="42">
        <f t="shared" si="5"/>
        <v>1.0257150585513228</v>
      </c>
      <c r="G7" s="76">
        <f t="shared" si="0"/>
        <v>29.529999999969732</v>
      </c>
      <c r="H7" s="18">
        <f>SUMIF(Detail!$C$4:$C$506,Summary!$B7,Detail!$H$4:$H$506)</f>
        <v>208932.58000000002</v>
      </c>
      <c r="I7" s="18">
        <f>SUMIF(Detail!$C$4:$C$506,Summary!$B7,Detail!$I$4:$I$506)</f>
        <v>31339.890000000003</v>
      </c>
      <c r="J7" s="18">
        <f t="shared" si="1"/>
        <v>240272.47000000003</v>
      </c>
      <c r="K7" s="18">
        <f t="shared" si="2"/>
        <v>31339.887000000002</v>
      </c>
      <c r="L7" s="18">
        <f t="shared" si="3"/>
        <v>-3.0000000006111804E-3</v>
      </c>
      <c r="M7" s="18">
        <f>SUMIF(Detail!$C$4:$C$506,Summary!$B7,Detail!$J$4:$J$506)</f>
        <v>0</v>
      </c>
      <c r="N7" s="18">
        <f>SUMIF(Detail!$C$4:$C$506,Summary!$B7,Detail!$K$4:$K$506)</f>
        <v>6208.9099999999989</v>
      </c>
      <c r="O7" s="18">
        <f>SUMIF(Detail!$C$4:$C$506,Summary!$B7,Detail!$L$4:$L$506)</f>
        <v>0</v>
      </c>
      <c r="P7" s="18">
        <f>SUMIF(Detail!$C$4:$C$274, Summary!$B7, Detail!$M$4:$M$274)</f>
        <v>0</v>
      </c>
      <c r="Q7" s="26">
        <f>SUMIF(Detail!$C$4:$C$274, Summary!$B7, Detail!$N$4:$N$274)</f>
        <v>0</v>
      </c>
      <c r="R7" s="80">
        <f t="shared" si="4"/>
        <v>-1.3642420526593924E-11</v>
      </c>
      <c r="S7" s="80"/>
    </row>
    <row r="8" spans="1:19" x14ac:dyDescent="0.25">
      <c r="A8" s="38" t="s">
        <v>55</v>
      </c>
      <c r="B8" s="13" t="s">
        <v>56</v>
      </c>
      <c r="C8" s="4">
        <f>870252+6000+14000+5.11</f>
        <v>890257.11</v>
      </c>
      <c r="D8" s="18">
        <f>SUMIF(Detail!$C$4:$C$506,Summary!$B8,Detail!$F$4:$F$506)</f>
        <v>774136.61999999988</v>
      </c>
      <c r="E8" s="18">
        <f>SUMIF(Detail!$C$4:$C$506,Summary!$B8,Detail!$G$4:$G$506)</f>
        <v>116115.76</v>
      </c>
      <c r="F8" s="42">
        <f t="shared" si="5"/>
        <v>0.99999468692813909</v>
      </c>
      <c r="G8" s="76">
        <f t="shared" si="0"/>
        <v>4.7300000000977889</v>
      </c>
      <c r="H8" s="18">
        <f>SUMIF(Detail!$C$4:$C$506,Summary!$B8,Detail!$H$4:$H$506)</f>
        <v>774136.61999999988</v>
      </c>
      <c r="I8" s="18">
        <f>SUMIF(Detail!$C$4:$C$506,Summary!$B8,Detail!$I$4:$I$506)</f>
        <v>116115.76</v>
      </c>
      <c r="J8" s="18">
        <f t="shared" si="1"/>
        <v>890252.37999999989</v>
      </c>
      <c r="K8" s="18">
        <f t="shared" si="2"/>
        <v>116120.49299999997</v>
      </c>
      <c r="L8" s="18">
        <f t="shared" si="3"/>
        <v>4.7329999999783468</v>
      </c>
      <c r="M8" s="18">
        <f>SUMIF(Detail!$C$4:$C$506,Summary!$B8,Detail!$J$4:$J$506)</f>
        <v>0</v>
      </c>
      <c r="N8" s="18">
        <f>SUMIF(Detail!$C$4:$C$506,Summary!$B8,Detail!$K$4:$K$506)</f>
        <v>0</v>
      </c>
      <c r="O8" s="18">
        <f>SUMIF(Detail!$C$4:$C$506,Summary!$B8,Detail!$L$4:$L$506)</f>
        <v>0</v>
      </c>
      <c r="P8" s="18">
        <f>SUMIF(Detail!$C$4:$C$274, Summary!$B8, Detail!$M$4:$M$274)</f>
        <v>0</v>
      </c>
      <c r="Q8" s="26">
        <f>SUMIF(Detail!$C$4:$C$274, Summary!$B8, Detail!$N$4:$N$274)</f>
        <v>0</v>
      </c>
      <c r="R8" s="80">
        <f t="shared" si="4"/>
        <v>1.4551915228366852E-11</v>
      </c>
      <c r="S8" s="80"/>
    </row>
    <row r="9" spans="1:19" x14ac:dyDescent="0.25">
      <c r="A9" s="38" t="s">
        <v>84</v>
      </c>
      <c r="B9" s="13" t="s">
        <v>92</v>
      </c>
      <c r="C9" s="4">
        <f>161855+20000</f>
        <v>181855</v>
      </c>
      <c r="D9" s="18">
        <f>SUMIF(Detail!$C$4:$C$506,Summary!$B9,Detail!$F$4:$F$506)</f>
        <v>143403.18</v>
      </c>
      <c r="E9" s="18">
        <f>SUMIF(Detail!$C$4:$C$506,Summary!$B9,Detail!$G$4:$G$506)</f>
        <v>20641.79</v>
      </c>
      <c r="F9" s="42">
        <f>(SUM($D9:$E9)/$C9)</f>
        <v>0.9020646669049518</v>
      </c>
      <c r="G9" s="76">
        <f t="shared" si="0"/>
        <v>17810.03</v>
      </c>
      <c r="H9" s="18">
        <f>SUMIF(Detail!$C$4:$C$506,Summary!$B9,Detail!$H$4:$H$506)</f>
        <v>143403.18</v>
      </c>
      <c r="I9" s="18">
        <f>SUMIF(Detail!$C$4:$C$506,Summary!$B9,Detail!$I$4:$I$506)</f>
        <v>20641.79</v>
      </c>
      <c r="J9" s="18">
        <f t="shared" si="1"/>
        <v>164044.97</v>
      </c>
      <c r="K9" s="18">
        <f t="shared" si="2"/>
        <v>21510.476999999999</v>
      </c>
      <c r="L9" s="18">
        <f t="shared" si="3"/>
        <v>868.68699999999808</v>
      </c>
      <c r="M9" s="18">
        <f>SUMIF(Detail!$C$4:$C$506,Summary!$B9,Detail!$J$4:$J$506)</f>
        <v>0</v>
      </c>
      <c r="N9" s="18">
        <f>SUMIF(Detail!$C$4:$C$506,Summary!$B9,Detail!$K$4:$K$506)</f>
        <v>0</v>
      </c>
      <c r="O9" s="18">
        <f>SUMIF(Detail!$C$4:$C$506,Summary!$B9,Detail!$L$4:$L$506)</f>
        <v>0</v>
      </c>
      <c r="P9" s="18">
        <f>SUMIF(Detail!$C$4:$C$274, Summary!$B9, Detail!$M$4:$M$274)</f>
        <v>0</v>
      </c>
      <c r="Q9" s="26">
        <f>SUMIF(Detail!$C$4:$C$274, Summary!$B9, Detail!$N$4:$N$274)</f>
        <v>0</v>
      </c>
      <c r="R9" s="80">
        <f t="shared" si="4"/>
        <v>7.2759576141834259E-12</v>
      </c>
      <c r="S9" s="80"/>
    </row>
    <row r="10" spans="1:19" x14ac:dyDescent="0.25">
      <c r="A10" s="38" t="s">
        <v>24</v>
      </c>
      <c r="B10" s="13" t="s">
        <v>25</v>
      </c>
      <c r="C10" s="4">
        <f>127415-21400</f>
        <v>106015</v>
      </c>
      <c r="D10" s="18">
        <f>SUMIF(Detail!$C$4:$C$506,Summary!$B10,Detail!$F$4:$F$506)</f>
        <v>56226.720000000001</v>
      </c>
      <c r="E10" s="18">
        <f>SUMIF(Detail!$C$4:$C$506,Summary!$B10,Detail!$G$4:$G$506)</f>
        <v>8187.5</v>
      </c>
      <c r="F10" s="42">
        <f t="shared" si="5"/>
        <v>0.60759534028203555</v>
      </c>
      <c r="G10" s="76">
        <f t="shared" si="0"/>
        <v>41600.78</v>
      </c>
      <c r="H10" s="18">
        <f>SUMIF(Detail!$C$4:$C$506,Summary!$B10,Detail!$H$4:$H$506)</f>
        <v>56226.720000000001</v>
      </c>
      <c r="I10" s="18">
        <f>SUMIF(Detail!$C$4:$C$506,Summary!$B10,Detail!$I$4:$I$506)</f>
        <v>8187.5</v>
      </c>
      <c r="J10" s="18">
        <f t="shared" si="1"/>
        <v>64414.22</v>
      </c>
      <c r="K10" s="18">
        <f t="shared" si="2"/>
        <v>8434.0079999999998</v>
      </c>
      <c r="L10" s="18">
        <f t="shared" si="3"/>
        <v>246.50799999999981</v>
      </c>
      <c r="M10" s="18">
        <f>SUMIF(Detail!$C$4:$C$506,Summary!$B10,Detail!$J$4:$J$506)</f>
        <v>0</v>
      </c>
      <c r="N10" s="18">
        <f>SUMIF(Detail!$C$4:$C$506,Summary!$B10,Detail!$K$4:$K$506)</f>
        <v>0</v>
      </c>
      <c r="O10" s="18">
        <f>SUMIF(Detail!$C$4:$C$506,Summary!$B10,Detail!$L$4:$L$506)</f>
        <v>0</v>
      </c>
      <c r="P10" s="18">
        <f>SUMIF(Detail!$C$4:$C$274, Summary!$B10, Detail!$M$4:$M$274)</f>
        <v>0</v>
      </c>
      <c r="Q10" s="26">
        <f>SUMIF(Detail!$C$4:$C$274, Summary!$B10, Detail!$N$4:$N$274)</f>
        <v>0</v>
      </c>
      <c r="R10" s="80">
        <f t="shared" si="4"/>
        <v>0</v>
      </c>
      <c r="S10" s="80"/>
    </row>
    <row r="11" spans="1:19" x14ac:dyDescent="0.25">
      <c r="A11" s="38" t="s">
        <v>41</v>
      </c>
      <c r="B11" s="13" t="s">
        <v>42</v>
      </c>
      <c r="C11" s="4">
        <f>SUM(63634-20000)</f>
        <v>43634</v>
      </c>
      <c r="D11" s="18">
        <f>SUMIF(Detail!$C$4:$C$506,Summary!$B11,Detail!$F$4:$F$506)</f>
        <v>75040.81</v>
      </c>
      <c r="E11" s="18">
        <f>SUMIF(Detail!$C$4:$C$506,Summary!$B11,Detail!$G$4:$G$506)</f>
        <v>2945.37</v>
      </c>
      <c r="F11" s="42">
        <f t="shared" si="5"/>
        <v>1.7872801026722278</v>
      </c>
      <c r="G11" s="76">
        <f t="shared" si="0"/>
        <v>1354.8499999999985</v>
      </c>
      <c r="H11" s="18">
        <f>SUMIF(Detail!$C$4:$C$506,Summary!$B11,Detail!$H$4:$H$506)</f>
        <v>39770.130000000005</v>
      </c>
      <c r="I11" s="18">
        <f>SUMIF(Detail!$C$4:$C$506,Summary!$B11,Detail!$I$4:$I$506)</f>
        <v>2509.02</v>
      </c>
      <c r="J11" s="18">
        <f t="shared" si="1"/>
        <v>42279.15</v>
      </c>
      <c r="K11" s="18">
        <f t="shared" si="2"/>
        <v>5965.5195000000003</v>
      </c>
      <c r="L11" s="18">
        <f t="shared" si="3"/>
        <v>3456.4995000000004</v>
      </c>
      <c r="M11" s="18">
        <f>SUMIF(Detail!$C$4:$C$506,Summary!$B11,Detail!$J$4:$J$506)</f>
        <v>0</v>
      </c>
      <c r="N11" s="18">
        <f>SUMIF(Detail!$C$4:$C$506,Summary!$B11,Detail!$K$4:$K$506)</f>
        <v>0</v>
      </c>
      <c r="O11" s="18">
        <f>SUMIF(Detail!$C$4:$C$506,Summary!$B11,Detail!$L$4:$L$506)</f>
        <v>0</v>
      </c>
      <c r="P11" s="18">
        <f>SUMIF(Detail!$C$4:$C$274, Summary!$B11, Detail!$M$4:$M$274)</f>
        <v>0</v>
      </c>
      <c r="Q11" s="26">
        <f>SUMIF(Detail!$C$4:$C$274, Summary!$B11, Detail!$N$4:$N$274)</f>
        <v>35707.03</v>
      </c>
      <c r="R11" s="80">
        <f t="shared" si="4"/>
        <v>0</v>
      </c>
      <c r="S11" s="80"/>
    </row>
    <row r="12" spans="1:19" s="6" customFormat="1" x14ac:dyDescent="0.25">
      <c r="A12" s="37" t="s">
        <v>69</v>
      </c>
      <c r="B12" s="13" t="s">
        <v>70</v>
      </c>
      <c r="C12" s="4">
        <v>69774</v>
      </c>
      <c r="D12" s="18">
        <f>SUMIF(Detail!$C$4:$C$506,Summary!$B12,Detail!$F$4:$F$506)</f>
        <v>42421.71</v>
      </c>
      <c r="E12" s="18">
        <f>SUMIF(Detail!$C$4:$C$506,Summary!$B12,Detail!$G$4:$G$506)</f>
        <v>10329.43</v>
      </c>
      <c r="F12" s="42">
        <f t="shared" si="5"/>
        <v>0.75602860664430871</v>
      </c>
      <c r="G12" s="76">
        <f t="shared" si="0"/>
        <v>20989.03</v>
      </c>
      <c r="H12" s="18">
        <f>SUMIF(Detail!$C$4:$C$506,Summary!$B12,Detail!$H$4:$H$506)</f>
        <v>42421.71</v>
      </c>
      <c r="I12" s="18">
        <f>SUMIF(Detail!$C$4:$C$506,Summary!$B12,Detail!$I$4:$I$506)</f>
        <v>6363.26</v>
      </c>
      <c r="J12" s="18">
        <f t="shared" si="1"/>
        <v>48784.97</v>
      </c>
      <c r="K12" s="18">
        <f t="shared" si="2"/>
        <v>6363.2564999999995</v>
      </c>
      <c r="L12" s="18">
        <f t="shared" si="3"/>
        <v>-3.5000000007130438E-3</v>
      </c>
      <c r="M12" s="18">
        <f>SUMIF(Detail!$C$4:$C$506,Summary!$B12,Detail!$J$4:$J$506)</f>
        <v>0</v>
      </c>
      <c r="N12" s="18">
        <f>SUMIF(Detail!$C$4:$C$506,Summary!$B12,Detail!$K$4:$K$506)</f>
        <v>3966.17</v>
      </c>
      <c r="O12" s="18">
        <f>SUMIF(Detail!$C$4:$C$506,Summary!$B12,Detail!$L$4:$L$506)</f>
        <v>0</v>
      </c>
      <c r="P12" s="18">
        <f>SUMIF(Detail!$C$4:$C$274, Summary!$B12, Detail!$M$4:$M$274)</f>
        <v>0</v>
      </c>
      <c r="Q12" s="26">
        <f>SUMIF(Detail!$C$4:$C$274, Summary!$B12, Detail!$N$4:$N$274)</f>
        <v>0</v>
      </c>
      <c r="R12" s="80">
        <f t="shared" si="4"/>
        <v>0</v>
      </c>
      <c r="S12" s="80"/>
    </row>
    <row r="13" spans="1:19" s="6" customFormat="1" x14ac:dyDescent="0.25">
      <c r="A13" s="37" t="s">
        <v>22</v>
      </c>
      <c r="B13" s="13" t="s">
        <v>23</v>
      </c>
      <c r="C13" s="4">
        <f>466527-150000+5800</f>
        <v>322327</v>
      </c>
      <c r="D13" s="18">
        <f>SUMIF(Detail!$C$4:$C$506,Summary!$B13,Detail!$F$4:$F$506)</f>
        <v>295246.87</v>
      </c>
      <c r="E13" s="18">
        <f>SUMIF(Detail!$C$4:$C$506,Summary!$B13,Detail!$G$4:$G$506)</f>
        <v>27059.85</v>
      </c>
      <c r="F13" s="42">
        <f t="shared" si="5"/>
        <v>0.99993708252799163</v>
      </c>
      <c r="G13" s="76">
        <f t="shared" si="0"/>
        <v>20.28000000002794</v>
      </c>
      <c r="H13" s="18">
        <f>SUMIF(Detail!$C$4:$C$506,Summary!$B13,Detail!$H$4:$H$506)</f>
        <v>295246.87</v>
      </c>
      <c r="I13" s="18">
        <f>SUMIF(Detail!$C$4:$C$506,Summary!$B13,Detail!$I$4:$I$506)</f>
        <v>27059.85</v>
      </c>
      <c r="J13" s="18">
        <f t="shared" si="1"/>
        <v>322306.71999999997</v>
      </c>
      <c r="K13" s="18">
        <f t="shared" si="2"/>
        <v>44287.030500000001</v>
      </c>
      <c r="L13" s="18">
        <f t="shared" si="3"/>
        <v>17227.180500000002</v>
      </c>
      <c r="M13" s="18">
        <f>SUMIF(Detail!$C$4:$C$506,Summary!$B13,Detail!$J$4:$J$506)</f>
        <v>0</v>
      </c>
      <c r="N13" s="18">
        <f>SUMIF(Detail!$C$4:$C$506,Summary!$B13,Detail!$K$4:$K$506)</f>
        <v>0</v>
      </c>
      <c r="O13" s="18">
        <f>SUMIF(Detail!$C$4:$C$506,Summary!$B13,Detail!$L$4:$L$506)</f>
        <v>0</v>
      </c>
      <c r="P13" s="18">
        <f>SUMIF(Detail!$C$4:$C$274, Summary!$B13, Detail!$M$4:$M$274)</f>
        <v>0</v>
      </c>
      <c r="Q13" s="26">
        <f>SUMIF(Detail!$C$4:$C$274, Summary!$B13, Detail!$N$4:$N$274)</f>
        <v>0</v>
      </c>
      <c r="R13" s="80">
        <f t="shared" si="4"/>
        <v>-2.1827872842550278E-11</v>
      </c>
      <c r="S13" s="80"/>
    </row>
    <row r="14" spans="1:19" s="6" customFormat="1" x14ac:dyDescent="0.25">
      <c r="A14" s="37" t="s">
        <v>12</v>
      </c>
      <c r="B14" s="13" t="s">
        <v>13</v>
      </c>
      <c r="C14" s="4">
        <f>263895+110000+27000</f>
        <v>400895</v>
      </c>
      <c r="D14" s="18">
        <f>SUMIF(Detail!$C$4:$C$506,Summary!$B14,Detail!$F$4:$F$506)</f>
        <v>368019.64</v>
      </c>
      <c r="E14" s="18">
        <f>SUMIF(Detail!$C$4:$C$506,Summary!$B14,Detail!$G$4:$G$506)</f>
        <v>32457.039999999994</v>
      </c>
      <c r="F14" s="42">
        <f t="shared" si="5"/>
        <v>0.998956534753489</v>
      </c>
      <c r="G14" s="76">
        <f t="shared" si="0"/>
        <v>917.32000000000698</v>
      </c>
      <c r="H14" s="18">
        <f>SUMIF(Detail!$C$4:$C$506,Summary!$B14,Detail!$H$4:$H$506)</f>
        <v>367520.64</v>
      </c>
      <c r="I14" s="18">
        <f>SUMIF(Detail!$C$4:$C$506,Summary!$B14,Detail!$I$4:$I$506)</f>
        <v>32457.039999999994</v>
      </c>
      <c r="J14" s="18">
        <f t="shared" si="1"/>
        <v>399977.68</v>
      </c>
      <c r="K14" s="18">
        <f t="shared" si="2"/>
        <v>55128.095999999998</v>
      </c>
      <c r="L14" s="18">
        <f t="shared" si="3"/>
        <v>22671.056000000004</v>
      </c>
      <c r="M14" s="18">
        <f>SUMIF(Detail!$C$4:$C$506,Summary!$B14,Detail!$J$4:$J$506)</f>
        <v>0</v>
      </c>
      <c r="N14" s="18">
        <f>SUMIF(Detail!$C$4:$C$506,Summary!$B14,Detail!$K$4:$K$506)</f>
        <v>0</v>
      </c>
      <c r="O14" s="18">
        <f>SUMIF(Detail!$C$4:$C$506,Summary!$B14,Detail!$L$4:$L$506)</f>
        <v>0</v>
      </c>
      <c r="P14" s="18">
        <f>SUMIF(Detail!$C$4:$C$274, Summary!$B14, Detail!$M$4:$M$274)</f>
        <v>0</v>
      </c>
      <c r="Q14" s="26">
        <f>SUMIF(Detail!$C$4:$C$274, Summary!$B14, Detail!$N$4:$N$274)</f>
        <v>499</v>
      </c>
      <c r="R14" s="80">
        <f t="shared" si="4"/>
        <v>-1.4551915228366852E-11</v>
      </c>
      <c r="S14" s="80"/>
    </row>
    <row r="15" spans="1:19" x14ac:dyDescent="0.25">
      <c r="A15" s="38" t="s">
        <v>37</v>
      </c>
      <c r="B15" s="13" t="s">
        <v>38</v>
      </c>
      <c r="C15" s="4">
        <f>80021-38300</f>
        <v>41721</v>
      </c>
      <c r="D15" s="18">
        <f>SUMIF(Detail!$C$4:$C$506,Summary!$B15,Detail!$F$4:$F$506)</f>
        <v>14496.91</v>
      </c>
      <c r="E15" s="18">
        <f>SUMIF(Detail!$C$4:$C$506,Summary!$B15,Detail!$G$4:$G$506)</f>
        <v>15070</v>
      </c>
      <c r="F15" s="42">
        <f t="shared" si="5"/>
        <v>0.70868171903837396</v>
      </c>
      <c r="G15" s="76">
        <f t="shared" si="0"/>
        <v>25637.78</v>
      </c>
      <c r="H15" s="18">
        <f>SUMIF(Detail!$C$4:$C$506,Summary!$B15,Detail!$H$4:$H$506)</f>
        <v>13985.41</v>
      </c>
      <c r="I15" s="18">
        <f>SUMIF(Detail!$C$4:$C$506,Summary!$B15,Detail!$I$4:$I$506)</f>
        <v>2097.81</v>
      </c>
      <c r="J15" s="18">
        <f t="shared" si="1"/>
        <v>16083.22</v>
      </c>
      <c r="K15" s="18">
        <f t="shared" si="2"/>
        <v>2097.8114999999998</v>
      </c>
      <c r="L15" s="18">
        <f t="shared" si="3"/>
        <v>1.4999999998508429E-3</v>
      </c>
      <c r="M15" s="18">
        <f>SUMIF(Detail!$C$4:$C$506,Summary!$B15,Detail!$J$4:$J$506)</f>
        <v>0</v>
      </c>
      <c r="N15" s="18">
        <f>SUMIF(Detail!$C$4:$C$506,Summary!$B15,Detail!$K$4:$K$506)</f>
        <v>12972.189999999999</v>
      </c>
      <c r="O15" s="18">
        <f>SUMIF(Detail!$C$4:$C$506,Summary!$B15,Detail!$L$4:$L$506)</f>
        <v>0</v>
      </c>
      <c r="P15" s="18">
        <f>SUMIF(Detail!$C$4:$C$274, Summary!$B15, Detail!$M$4:$M$274)</f>
        <v>0</v>
      </c>
      <c r="Q15" s="26">
        <f>SUMIF(Detail!$C$4:$C$274, Summary!$B15, Detail!$N$4:$N$274)</f>
        <v>511.5</v>
      </c>
      <c r="R15" s="80">
        <f t="shared" si="4"/>
        <v>1.8189894035458565E-12</v>
      </c>
      <c r="S15" s="80"/>
    </row>
    <row r="16" spans="1:19" x14ac:dyDescent="0.25">
      <c r="A16" s="38" t="s">
        <v>39</v>
      </c>
      <c r="B16" s="13" t="s">
        <v>40</v>
      </c>
      <c r="C16" s="4">
        <f>116286+1500</f>
        <v>117786</v>
      </c>
      <c r="D16" s="18">
        <f>SUMIF(Detail!$C$4:$C$506,Summary!$B16,Detail!$F$4:$F$506)</f>
        <v>111806.83</v>
      </c>
      <c r="E16" s="18">
        <f>SUMIF(Detail!$C$4:$C$506,Summary!$B16,Detail!$G$4:$G$506)</f>
        <v>4884.03</v>
      </c>
      <c r="F16" s="42">
        <f t="shared" si="5"/>
        <v>0.99070229059480752</v>
      </c>
      <c r="G16" s="76">
        <f t="shared" si="0"/>
        <v>1095.1399999999994</v>
      </c>
      <c r="H16" s="18">
        <f>SUMIF(Detail!$C$4:$C$506,Summary!$B16,Detail!$H$4:$H$506)</f>
        <v>111806.83</v>
      </c>
      <c r="I16" s="18">
        <f>SUMIF(Detail!$C$4:$C$506,Summary!$B16,Detail!$I$4:$I$506)</f>
        <v>4884.03</v>
      </c>
      <c r="J16" s="18">
        <f t="shared" si="1"/>
        <v>116690.86</v>
      </c>
      <c r="K16" s="18">
        <f t="shared" si="2"/>
        <v>16771.0245</v>
      </c>
      <c r="L16" s="18">
        <f t="shared" si="3"/>
        <v>11886.994500000001</v>
      </c>
      <c r="M16" s="18">
        <f>SUMIF(Detail!$C$4:$C$506,Summary!$B16,Detail!$J$4:$J$506)</f>
        <v>0</v>
      </c>
      <c r="N16" s="18">
        <f>SUMIF(Detail!$C$4:$C$506,Summary!$B16,Detail!$K$4:$K$506)</f>
        <v>0</v>
      </c>
      <c r="O16" s="18">
        <f>SUMIF(Detail!$C$4:$C$506,Summary!$B16,Detail!$L$4:$L$506)</f>
        <v>0</v>
      </c>
      <c r="P16" s="18">
        <f>SUMIF(Detail!$C$4:$C$274, Summary!$B16, Detail!$M$4:$M$274)</f>
        <v>0</v>
      </c>
      <c r="Q16" s="26">
        <f>SUMIF(Detail!$C$4:$C$274, Summary!$B16, Detail!$N$4:$N$274)</f>
        <v>0</v>
      </c>
      <c r="R16" s="80">
        <f t="shared" si="4"/>
        <v>-9.0949470177292824E-13</v>
      </c>
      <c r="S16" s="80"/>
    </row>
    <row r="17" spans="1:19" s="6" customFormat="1" x14ac:dyDescent="0.25">
      <c r="A17" s="37" t="s">
        <v>75</v>
      </c>
      <c r="B17" s="13" t="s">
        <v>76</v>
      </c>
      <c r="C17" s="4">
        <v>84407</v>
      </c>
      <c r="D17" s="18">
        <f>SUMIF(Detail!$C$4:$C$506,Summary!$B17,Detail!$F$4:$F$506)</f>
        <v>73397.349999999991</v>
      </c>
      <c r="E17" s="18">
        <f>SUMIF(Detail!$C$4:$C$506,Summary!$B17,Detail!$G$4:$G$506)</f>
        <v>11009.63</v>
      </c>
      <c r="F17" s="42">
        <f t="shared" si="5"/>
        <v>0.99999976305282734</v>
      </c>
      <c r="G17" s="76">
        <f t="shared" si="0"/>
        <v>6.0000000012223609E-2</v>
      </c>
      <c r="H17" s="18">
        <f>SUMIF(Detail!$C$4:$C$506,Summary!$B17,Detail!$H$4:$H$506)</f>
        <v>73397.349999999991</v>
      </c>
      <c r="I17" s="18">
        <f>SUMIF(Detail!$C$4:$C$506,Summary!$B17,Detail!$I$4:$I$506)</f>
        <v>11009.59</v>
      </c>
      <c r="J17" s="18">
        <f t="shared" si="1"/>
        <v>84406.939999999988</v>
      </c>
      <c r="K17" s="18">
        <f t="shared" si="2"/>
        <v>11009.602499999999</v>
      </c>
      <c r="L17" s="18">
        <f t="shared" si="3"/>
        <v>1.2499999998908606E-2</v>
      </c>
      <c r="M17" s="18">
        <f>SUMIF(Detail!$C$4:$C$506,Summary!$B17,Detail!$J$4:$J$506)</f>
        <v>0</v>
      </c>
      <c r="N17" s="18">
        <f>SUMIF(Detail!$C$4:$C$506,Summary!$B17,Detail!$K$4:$K$506)</f>
        <v>3.999999999996362E-2</v>
      </c>
      <c r="O17" s="18">
        <f>SUMIF(Detail!$C$4:$C$506,Summary!$B17,Detail!$L$4:$L$506)</f>
        <v>0</v>
      </c>
      <c r="P17" s="18">
        <f>SUMIF(Detail!$C$4:$C$274, Summary!$B17, Detail!$M$4:$M$274)</f>
        <v>0</v>
      </c>
      <c r="Q17" s="26">
        <f>SUMIF(Detail!$C$4:$C$274, Summary!$B17, Detail!$N$4:$N$274)</f>
        <v>0</v>
      </c>
      <c r="R17" s="80">
        <f t="shared" si="4"/>
        <v>4.5474735088646412E-12</v>
      </c>
      <c r="S17" s="80"/>
    </row>
    <row r="18" spans="1:19" s="6" customFormat="1" x14ac:dyDescent="0.25">
      <c r="A18" s="37" t="s">
        <v>71</v>
      </c>
      <c r="B18" s="13" t="s">
        <v>72</v>
      </c>
      <c r="C18" s="4">
        <f>327617-70000</f>
        <v>257617</v>
      </c>
      <c r="D18" s="18">
        <f>SUMIF(Detail!$C$4:$C$506,Summary!$B18,Detail!$F$4:$F$506)</f>
        <v>210106.98000000004</v>
      </c>
      <c r="E18" s="18">
        <f>SUMIF(Detail!$C$4:$C$506,Summary!$B18,Detail!$G$4:$G$506)</f>
        <v>13858.54</v>
      </c>
      <c r="F18" s="42">
        <f t="shared" si="5"/>
        <v>0.86937399317591635</v>
      </c>
      <c r="G18" s="76">
        <f t="shared" si="0"/>
        <v>33651.479999999952</v>
      </c>
      <c r="H18" s="18">
        <f>SUMIF(Detail!$C$4:$C$506,Summary!$B18,Detail!$H$4:$H$506)</f>
        <v>210106.98000000004</v>
      </c>
      <c r="I18" s="18">
        <f>SUMIF(Detail!$C$4:$C$506,Summary!$B18,Detail!$I$4:$I$506)</f>
        <v>13858.54</v>
      </c>
      <c r="J18" s="18">
        <f t="shared" si="1"/>
        <v>223965.52000000005</v>
      </c>
      <c r="K18" s="18">
        <f t="shared" si="2"/>
        <v>31516.047000000006</v>
      </c>
      <c r="L18" s="18">
        <f t="shared" si="3"/>
        <v>17657.507000000005</v>
      </c>
      <c r="M18" s="18">
        <f>SUMIF(Detail!$C$4:$C$506,Summary!$B18,Detail!$J$4:$J$506)</f>
        <v>0</v>
      </c>
      <c r="N18" s="18">
        <f>SUMIF(Detail!$C$4:$C$506,Summary!$B18,Detail!$K$4:$K$506)</f>
        <v>0</v>
      </c>
      <c r="O18" s="18">
        <f>SUMIF(Detail!$C$4:$C$506,Summary!$B18,Detail!$L$4:$L$506)</f>
        <v>0</v>
      </c>
      <c r="P18" s="18">
        <f>SUMIF(Detail!$C$4:$C$274, Summary!$B18, Detail!$M$4:$M$274)</f>
        <v>0</v>
      </c>
      <c r="Q18" s="26">
        <f>SUMIF(Detail!$C$4:$C$274, Summary!$B18, Detail!$N$4:$N$274)</f>
        <v>0</v>
      </c>
      <c r="R18" s="80">
        <f t="shared" si="4"/>
        <v>7.2759576141834259E-12</v>
      </c>
      <c r="S18" s="80"/>
    </row>
    <row r="19" spans="1:19" x14ac:dyDescent="0.25">
      <c r="A19" s="38" t="s">
        <v>59</v>
      </c>
      <c r="B19" s="13" t="s">
        <v>60</v>
      </c>
      <c r="C19" s="4">
        <f>190958-50000</f>
        <v>140958</v>
      </c>
      <c r="D19" s="18">
        <f>SUMIF(Detail!$C$4:$C$506,Summary!$B19,Detail!$F$4:$F$506)</f>
        <v>94354.87</v>
      </c>
      <c r="E19" s="18">
        <f>SUMIF(Detail!$C$4:$C$506,Summary!$B19,Detail!$G$4:$G$506)</f>
        <v>15031.44</v>
      </c>
      <c r="F19" s="42">
        <f t="shared" si="5"/>
        <v>0.77602058769278792</v>
      </c>
      <c r="G19" s="76">
        <f t="shared" si="0"/>
        <v>32449.89</v>
      </c>
      <c r="H19" s="18">
        <f>SUMIF(Detail!$C$4:$C$506,Summary!$B19,Detail!$H$4:$H$506)</f>
        <v>94354.87</v>
      </c>
      <c r="I19" s="18">
        <f>SUMIF(Detail!$C$4:$C$506,Summary!$B19,Detail!$I$4:$I$506)</f>
        <v>14153.24</v>
      </c>
      <c r="J19" s="18">
        <f t="shared" si="1"/>
        <v>108508.11</v>
      </c>
      <c r="K19" s="18">
        <f t="shared" si="2"/>
        <v>14153.2305</v>
      </c>
      <c r="L19" s="18">
        <f t="shared" si="3"/>
        <v>-9.5000000001164153E-3</v>
      </c>
      <c r="M19" s="18">
        <f>SUMIF(Detail!$C$4:$C$506,Summary!$B19,Detail!$J$4:$J$506)</f>
        <v>0</v>
      </c>
      <c r="N19" s="18">
        <f>SUMIF(Detail!$C$4:$C$506,Summary!$B19,Detail!$K$4:$K$506)</f>
        <v>878.20000000000027</v>
      </c>
      <c r="O19" s="18">
        <f>SUMIF(Detail!$C$4:$C$506,Summary!$B19,Detail!$L$4:$L$506)</f>
        <v>0</v>
      </c>
      <c r="P19" s="18">
        <f>SUMIF(Detail!$C$4:$C$274, Summary!$B19, Detail!$M$4:$M$274)</f>
        <v>0</v>
      </c>
      <c r="Q19" s="26">
        <f>SUMIF(Detail!$C$4:$C$274, Summary!$B19, Detail!$N$4:$N$274)</f>
        <v>0</v>
      </c>
      <c r="R19" s="80">
        <f t="shared" si="4"/>
        <v>2.2737367544323206E-12</v>
      </c>
      <c r="S19" s="80"/>
    </row>
    <row r="20" spans="1:19" s="6" customFormat="1" x14ac:dyDescent="0.25">
      <c r="A20" s="37" t="s">
        <v>77</v>
      </c>
      <c r="B20" s="13" t="s">
        <v>78</v>
      </c>
      <c r="C20" s="4">
        <f>112226+26000+10000</f>
        <v>148226</v>
      </c>
      <c r="D20" s="18">
        <f>SUMIF(Detail!$C$4:$C$506,Summary!$B20,Detail!$F$4:$F$506)</f>
        <v>137318.71</v>
      </c>
      <c r="E20" s="18">
        <f>SUMIF(Detail!$C$4:$C$506,Summary!$B20,Detail!$G$4:$G$506)</f>
        <v>9719.84</v>
      </c>
      <c r="F20" s="42">
        <f t="shared" si="5"/>
        <v>0.99198892232132008</v>
      </c>
      <c r="G20" s="76">
        <f t="shared" si="0"/>
        <v>1187.4500000000116</v>
      </c>
      <c r="H20" s="18">
        <f>SUMIF(Detail!$C$4:$C$506,Summary!$B20,Detail!$H$4:$H$506)</f>
        <v>137318.71</v>
      </c>
      <c r="I20" s="18">
        <f>SUMIF(Detail!$C$4:$C$506,Summary!$B20,Detail!$I$4:$I$506)</f>
        <v>9719.84</v>
      </c>
      <c r="J20" s="18">
        <f t="shared" si="1"/>
        <v>147038.54999999999</v>
      </c>
      <c r="K20" s="18">
        <f t="shared" si="2"/>
        <v>20597.806499999999</v>
      </c>
      <c r="L20" s="18">
        <f t="shared" si="3"/>
        <v>10877.966499999999</v>
      </c>
      <c r="M20" s="18">
        <f>SUMIF(Detail!$C$4:$C$506,Summary!$B20,Detail!$J$4:$J$506)</f>
        <v>0</v>
      </c>
      <c r="N20" s="18">
        <f>SUMIF(Detail!$C$4:$C$506,Summary!$B20,Detail!$K$4:$K$506)</f>
        <v>0</v>
      </c>
      <c r="O20" s="18">
        <f>SUMIF(Detail!$C$4:$C$506,Summary!$B20,Detail!$L$4:$L$506)</f>
        <v>0</v>
      </c>
      <c r="P20" s="18">
        <f>SUMIF(Detail!$C$4:$C$274, Summary!$B20, Detail!$M$4:$M$274)</f>
        <v>0</v>
      </c>
      <c r="Q20" s="26">
        <f>SUMIF(Detail!$C$4:$C$274, Summary!$B20, Detail!$N$4:$N$274)</f>
        <v>0</v>
      </c>
      <c r="R20" s="80">
        <f t="shared" si="4"/>
        <v>-3.637978807091713E-12</v>
      </c>
      <c r="S20" s="80"/>
    </row>
    <row r="21" spans="1:19" x14ac:dyDescent="0.25">
      <c r="A21" s="38" t="s">
        <v>65</v>
      </c>
      <c r="B21" s="13" t="s">
        <v>66</v>
      </c>
      <c r="C21" s="4">
        <v>144451</v>
      </c>
      <c r="D21" s="18">
        <f>SUMIF(Detail!$C$4:$C$506,Summary!$B21,Detail!$F$4:$F$506)</f>
        <v>86870.41</v>
      </c>
      <c r="E21" s="18">
        <f>SUMIF(Detail!$C$4:$C$506,Summary!$B21,Detail!$G$4:$G$506)</f>
        <v>10147.99</v>
      </c>
      <c r="F21" s="42">
        <f t="shared" si="5"/>
        <v>0.67163536424116144</v>
      </c>
      <c r="G21" s="76">
        <f t="shared" si="0"/>
        <v>47432.599999999991</v>
      </c>
      <c r="H21" s="18">
        <f>SUMIF(Detail!$C$4:$C$506,Summary!$B21,Detail!$H$4:$H$506)</f>
        <v>86870.41</v>
      </c>
      <c r="I21" s="18">
        <f>SUMIF(Detail!$C$4:$C$506,Summary!$B21,Detail!$I$4:$I$506)</f>
        <v>10147.99</v>
      </c>
      <c r="J21" s="18">
        <f t="shared" si="1"/>
        <v>97018.400000000009</v>
      </c>
      <c r="K21" s="18">
        <f t="shared" si="2"/>
        <v>13030.5615</v>
      </c>
      <c r="L21" s="18">
        <f t="shared" si="3"/>
        <v>2882.5715</v>
      </c>
      <c r="M21" s="18">
        <f>SUMIF(Detail!$C$4:$C$506,Summary!$B21,Detail!$J$4:$J$506)</f>
        <v>0</v>
      </c>
      <c r="N21" s="18">
        <f>SUMIF(Detail!$C$4:$C$506,Summary!$B21,Detail!$K$4:$K$506)</f>
        <v>0</v>
      </c>
      <c r="O21" s="18">
        <f>SUMIF(Detail!$C$4:$C$506,Summary!$B21,Detail!$L$4:$L$506)</f>
        <v>0</v>
      </c>
      <c r="P21" s="18">
        <f>SUMIF(Detail!$C$4:$C$274, Summary!$B21, Detail!$M$4:$M$274)</f>
        <v>0</v>
      </c>
      <c r="Q21" s="26">
        <f>SUMIF(Detail!$C$4:$C$274, Summary!$B21, Detail!$N$4:$N$274)</f>
        <v>0</v>
      </c>
      <c r="R21" s="80">
        <f t="shared" si="4"/>
        <v>5.4569682106375694E-12</v>
      </c>
      <c r="S21" s="80"/>
    </row>
    <row r="22" spans="1:19" s="6" customFormat="1" x14ac:dyDescent="0.25">
      <c r="A22" s="37" t="s">
        <v>53</v>
      </c>
      <c r="B22" s="13" t="s">
        <v>54</v>
      </c>
      <c r="C22" s="4">
        <f>149226+20000+12000</f>
        <v>181226</v>
      </c>
      <c r="D22" s="18">
        <f>SUMIF(Detail!$C$4:$C$506,Summary!$B22,Detail!$F$4:$F$506)</f>
        <v>163038.00999999998</v>
      </c>
      <c r="E22" s="18">
        <f>SUMIF(Detail!$C$4:$C$506,Summary!$B22,Detail!$G$4:$G$506)</f>
        <v>18123.409999999996</v>
      </c>
      <c r="F22" s="42">
        <f t="shared" si="5"/>
        <v>0.99964364936598493</v>
      </c>
      <c r="G22" s="76">
        <f t="shared" si="0"/>
        <v>64.580000000016298</v>
      </c>
      <c r="H22" s="18">
        <f>SUMIF(Detail!$C$4:$C$506,Summary!$B22,Detail!$H$4:$H$506)</f>
        <v>163038.00999999998</v>
      </c>
      <c r="I22" s="18">
        <f>SUMIF(Detail!$C$4:$C$506,Summary!$B22,Detail!$I$4:$I$506)</f>
        <v>18123.409999999996</v>
      </c>
      <c r="J22" s="18">
        <f t="shared" si="1"/>
        <v>181161.41999999998</v>
      </c>
      <c r="K22" s="18">
        <f t="shared" si="2"/>
        <v>24455.701499999996</v>
      </c>
      <c r="L22" s="18">
        <f t="shared" si="3"/>
        <v>6332.2914999999994</v>
      </c>
      <c r="M22" s="18">
        <f>SUMIF(Detail!$C$4:$C$506,Summary!$B22,Detail!$J$4:$J$506)</f>
        <v>0</v>
      </c>
      <c r="N22" s="18">
        <f>SUMIF(Detail!$C$4:$C$506,Summary!$B22,Detail!$K$4:$K$506)</f>
        <v>0</v>
      </c>
      <c r="O22" s="18">
        <f>SUMIF(Detail!$C$4:$C$506,Summary!$B22,Detail!$L$4:$L$506)</f>
        <v>0</v>
      </c>
      <c r="P22" s="18">
        <f>SUMIF(Detail!$C$4:$C$274, Summary!$B22, Detail!$M$4:$M$274)</f>
        <v>0</v>
      </c>
      <c r="Q22" s="26">
        <f>SUMIF(Detail!$C$4:$C$274, Summary!$B22, Detail!$N$4:$N$274)</f>
        <v>0</v>
      </c>
      <c r="R22" s="80">
        <f t="shared" si="4"/>
        <v>7.2759576141834259E-12</v>
      </c>
      <c r="S22" s="80"/>
    </row>
    <row r="23" spans="1:19" x14ac:dyDescent="0.25">
      <c r="A23" s="38" t="s">
        <v>6</v>
      </c>
      <c r="B23" s="13" t="s">
        <v>8</v>
      </c>
      <c r="C23" s="4">
        <f>SUM(193305+49000+32500+5000)</f>
        <v>279805</v>
      </c>
      <c r="D23" s="18">
        <f>SUMIF(Detail!$C$4:$C$506,Summary!$B23,Detail!$F$4:$F$506)</f>
        <v>242808.80999999997</v>
      </c>
      <c r="E23" s="18">
        <f>SUMIF(Detail!$C$4:$C$506,Summary!$B23,Detail!$G$4:$G$506)</f>
        <v>40230.81</v>
      </c>
      <c r="F23" s="42">
        <f t="shared" si="5"/>
        <v>1.0115602651846822</v>
      </c>
      <c r="G23" s="76">
        <f t="shared" si="0"/>
        <v>574.87000000005355</v>
      </c>
      <c r="H23" s="18">
        <f>SUMIF(Detail!$C$4:$C$506,Summary!$B23,Detail!$H$4:$H$506)</f>
        <v>242808.80999999997</v>
      </c>
      <c r="I23" s="18">
        <f>SUMIF(Detail!$C$4:$C$506,Summary!$B23,Detail!$I$4:$I$506)</f>
        <v>36421.32</v>
      </c>
      <c r="J23" s="18">
        <f t="shared" si="1"/>
        <v>279230.12999999995</v>
      </c>
      <c r="K23" s="18">
        <f t="shared" si="2"/>
        <v>36421.321499999991</v>
      </c>
      <c r="L23" s="18">
        <f t="shared" si="3"/>
        <v>1.4999999912106432E-3</v>
      </c>
      <c r="M23" s="18">
        <f>SUMIF(Detail!$C$4:$C$506,Summary!$B23,Detail!$J$4:$J$506)</f>
        <v>0</v>
      </c>
      <c r="N23" s="18">
        <f>SUMIF(Detail!$C$4:$C$506,Summary!$B23,Detail!$K$4:$K$506)</f>
        <v>3809.4900000000007</v>
      </c>
      <c r="O23" s="18">
        <f>SUMIF(Detail!$C$4:$C$506,Summary!$B23,Detail!$L$4:$L$506)</f>
        <v>0</v>
      </c>
      <c r="P23" s="18">
        <f>SUMIF(Detail!$C$4:$C$274, Summary!$B23, Detail!$M$4:$M$274)</f>
        <v>0</v>
      </c>
      <c r="Q23" s="26">
        <f>SUMIF(Detail!$C$4:$C$274, Summary!$B23, Detail!$N$4:$N$274)</f>
        <v>0</v>
      </c>
      <c r="R23" s="80">
        <f t="shared" si="4"/>
        <v>2.6375346351414919E-11</v>
      </c>
      <c r="S23" s="80"/>
    </row>
    <row r="24" spans="1:19" x14ac:dyDescent="0.25">
      <c r="A24" s="38" t="s">
        <v>6</v>
      </c>
      <c r="B24" s="13" t="s">
        <v>9</v>
      </c>
      <c r="C24" s="4">
        <f>SUM(176883+20000+32500)</f>
        <v>229383</v>
      </c>
      <c r="D24" s="18">
        <f>SUMIF(Detail!$C$4:$C$506,Summary!$B24,Detail!$F$4:$F$506)</f>
        <v>191246.72</v>
      </c>
      <c r="E24" s="18">
        <f>SUMIF(Detail!$C$4:$C$506,Summary!$B24,Detail!$G$4:$G$506)</f>
        <v>31314.04</v>
      </c>
      <c r="F24" s="42">
        <f t="shared" si="5"/>
        <v>0.97025830161781823</v>
      </c>
      <c r="G24" s="76">
        <f t="shared" si="0"/>
        <v>9449.2699999999895</v>
      </c>
      <c r="H24" s="18">
        <f>SUMIF(Detail!$C$4:$C$506,Summary!$B24,Detail!$H$4:$H$506)</f>
        <v>191246.72</v>
      </c>
      <c r="I24" s="18">
        <f>SUMIF(Detail!$C$4:$C$506,Summary!$B24,Detail!$I$4:$I$506)</f>
        <v>28687.01</v>
      </c>
      <c r="J24" s="18">
        <f t="shared" si="1"/>
        <v>219933.73</v>
      </c>
      <c r="K24" s="18">
        <f t="shared" si="2"/>
        <v>28687.007999999998</v>
      </c>
      <c r="L24" s="18">
        <f t="shared" si="3"/>
        <v>-2.0000000004074536E-3</v>
      </c>
      <c r="M24" s="18">
        <f>SUMIF(Detail!$C$4:$C$506,Summary!$B24,Detail!$J$4:$J$506)</f>
        <v>0</v>
      </c>
      <c r="N24" s="18">
        <f>SUMIF(Detail!$C$4:$C$506,Summary!$B24,Detail!$K$4:$K$506)</f>
        <v>2627.0300000000007</v>
      </c>
      <c r="O24" s="18">
        <f>SUMIF(Detail!$C$4:$C$506,Summary!$B24,Detail!$L$4:$L$506)</f>
        <v>0</v>
      </c>
      <c r="P24" s="18">
        <f>SUMIF(Detail!$C$4:$C$274, Summary!$B24, Detail!$M$4:$M$274)</f>
        <v>0</v>
      </c>
      <c r="Q24" s="26">
        <f>SUMIF(Detail!$C$4:$C$274, Summary!$B24, Detail!$N$4:$N$274)</f>
        <v>0</v>
      </c>
      <c r="R24" s="80">
        <f t="shared" si="4"/>
        <v>9.0949470177292824E-12</v>
      </c>
      <c r="S24" s="80"/>
    </row>
    <row r="25" spans="1:19" x14ac:dyDescent="0.25">
      <c r="A25" s="38" t="s">
        <v>85</v>
      </c>
      <c r="B25" s="13" t="s">
        <v>93</v>
      </c>
      <c r="C25" s="4">
        <f>78660+15000+2000</f>
        <v>95660</v>
      </c>
      <c r="D25" s="18">
        <f>SUMIF(Detail!$C$4:$C$506,Summary!$B25,Detail!$F$4:$F$506)</f>
        <v>81397.5</v>
      </c>
      <c r="E25" s="18">
        <f>SUMIF(Detail!$C$4:$C$506,Summary!$B25,Detail!$G$4:$G$506)</f>
        <v>59557.5</v>
      </c>
      <c r="F25" s="42">
        <f t="shared" si="5"/>
        <v>1.4734998954630985</v>
      </c>
      <c r="G25" s="76">
        <f t="shared" si="0"/>
        <v>2052.8800000000047</v>
      </c>
      <c r="H25" s="18">
        <f>SUMIF(Detail!$C$4:$C$506,Summary!$B25,Detail!$H$4:$H$506)</f>
        <v>81397.5</v>
      </c>
      <c r="I25" s="18">
        <f>SUMIF(Detail!$C$4:$C$506,Summary!$B25,Detail!$I$4:$I$506)</f>
        <v>12209.62</v>
      </c>
      <c r="J25" s="18">
        <f t="shared" si="1"/>
        <v>93607.12</v>
      </c>
      <c r="K25" s="18">
        <f t="shared" si="2"/>
        <v>12209.625</v>
      </c>
      <c r="L25" s="18">
        <f t="shared" si="3"/>
        <v>4.9999999991996447E-3</v>
      </c>
      <c r="M25" s="18">
        <f>SUMIF(Detail!$C$4:$C$506,Summary!$B25,Detail!$J$4:$J$506)</f>
        <v>0</v>
      </c>
      <c r="N25" s="18">
        <f>SUMIF(Detail!$C$4:$C$506,Summary!$B25,Detail!$K$4:$K$506)</f>
        <v>47347.88</v>
      </c>
      <c r="O25" s="18">
        <f>SUMIF(Detail!$C$4:$C$506,Summary!$B25,Detail!$L$4:$L$506)</f>
        <v>0</v>
      </c>
      <c r="P25" s="18">
        <f>SUMIF(Detail!$C$4:$C$274, Summary!$B25, Detail!$M$4:$M$274)</f>
        <v>0</v>
      </c>
      <c r="Q25" s="26">
        <f>SUMIF(Detail!$C$4:$C$274, Summary!$B25, Detail!$N$4:$N$274)</f>
        <v>0</v>
      </c>
      <c r="R25" s="80">
        <f t="shared" si="4"/>
        <v>0</v>
      </c>
      <c r="S25" s="80"/>
    </row>
    <row r="26" spans="1:19" x14ac:dyDescent="0.25">
      <c r="A26" s="38" t="s">
        <v>86</v>
      </c>
      <c r="B26" s="13" t="s">
        <v>94</v>
      </c>
      <c r="C26" s="4">
        <f>263106-126800</f>
        <v>136306</v>
      </c>
      <c r="D26" s="18">
        <f>SUMIF(Detail!$C$4:$C$506,Summary!$B26,Detail!$F$4:$F$506)</f>
        <v>45799.58</v>
      </c>
      <c r="E26" s="18">
        <f>SUMIF(Detail!$C$4:$C$506,Summary!$B26,Detail!$G$4:$G$506)</f>
        <v>15825.23</v>
      </c>
      <c r="F26" s="42">
        <f t="shared" si="5"/>
        <v>0.45210636362302464</v>
      </c>
      <c r="G26" s="76">
        <f t="shared" si="0"/>
        <v>90324.54</v>
      </c>
      <c r="H26" s="18">
        <f>SUMIF(Detail!$C$4:$C$506,Summary!$B26,Detail!$H$4:$H$506)</f>
        <v>39983.880000000005</v>
      </c>
      <c r="I26" s="18">
        <f>SUMIF(Detail!$C$4:$C$506,Summary!$B26,Detail!$I$4:$I$506)</f>
        <v>5997.58</v>
      </c>
      <c r="J26" s="18">
        <f t="shared" si="1"/>
        <v>45981.460000000006</v>
      </c>
      <c r="K26" s="18">
        <f t="shared" si="2"/>
        <v>5997.5820000000003</v>
      </c>
      <c r="L26" s="18">
        <f t="shared" si="3"/>
        <v>2.0000000004074536E-3</v>
      </c>
      <c r="M26" s="18">
        <f>SUMIF(Detail!$C$4:$C$506,Summary!$B26,Detail!$J$4:$J$506)</f>
        <v>0</v>
      </c>
      <c r="N26" s="18">
        <f>SUMIF(Detail!$C$4:$C$506,Summary!$B26,Detail!$K$4:$K$506)</f>
        <v>6004.33</v>
      </c>
      <c r="O26" s="18">
        <f>SUMIF(Detail!$C$4:$C$506,Summary!$B26,Detail!$L$4:$L$506)</f>
        <v>0</v>
      </c>
      <c r="P26" s="18">
        <f>SUMIF(Detail!$C$4:$C$274, Summary!$B26, Detail!$M$4:$M$274)</f>
        <v>0</v>
      </c>
      <c r="Q26" s="26">
        <f>SUMIF(Detail!$C$4:$C$274, Summary!$B26, Detail!$N$4:$N$274)</f>
        <v>9639.02</v>
      </c>
      <c r="R26" s="80">
        <f t="shared" si="4"/>
        <v>0</v>
      </c>
      <c r="S26" s="80"/>
    </row>
    <row r="27" spans="1:19" x14ac:dyDescent="0.25">
      <c r="A27" s="38" t="s">
        <v>14</v>
      </c>
      <c r="B27" s="13" t="s">
        <v>15</v>
      </c>
      <c r="C27" s="4">
        <v>165985</v>
      </c>
      <c r="D27" s="18">
        <f>SUMIF(Detail!$C$4:$C$506,Summary!$B27,Detail!$F$4:$F$506)</f>
        <v>125059.65000000001</v>
      </c>
      <c r="E27" s="18">
        <f>SUMIF(Detail!$C$4:$C$506,Summary!$B27,Detail!$G$4:$G$506)</f>
        <v>23260.57</v>
      </c>
      <c r="F27" s="42">
        <f t="shared" si="5"/>
        <v>0.89357604602825558</v>
      </c>
      <c r="G27" s="76">
        <f t="shared" si="0"/>
        <v>22166.409999999974</v>
      </c>
      <c r="H27" s="18">
        <f>SUMIF(Detail!$C$4:$C$506,Summary!$B27,Detail!$H$4:$H$506)</f>
        <v>125059.65000000001</v>
      </c>
      <c r="I27" s="18">
        <f>SUMIF(Detail!$C$4:$C$506,Summary!$B27,Detail!$I$4:$I$506)</f>
        <v>18758.940000000002</v>
      </c>
      <c r="J27" s="18">
        <f t="shared" si="1"/>
        <v>143818.59000000003</v>
      </c>
      <c r="K27" s="18">
        <f t="shared" si="2"/>
        <v>18758.947500000002</v>
      </c>
      <c r="L27" s="18">
        <f t="shared" si="3"/>
        <v>7.4999999997089617E-3</v>
      </c>
      <c r="M27" s="18">
        <f>SUMIF(Detail!$C$4:$C$506,Summary!$B27,Detail!$J$4:$J$506)</f>
        <v>0</v>
      </c>
      <c r="N27" s="18">
        <f>SUMIF(Detail!$C$4:$C$506,Summary!$B27,Detail!$K$4:$K$506)</f>
        <v>4501.63</v>
      </c>
      <c r="O27" s="18">
        <f>SUMIF(Detail!$C$4:$C$506,Summary!$B27,Detail!$L$4:$L$506)</f>
        <v>0</v>
      </c>
      <c r="P27" s="18">
        <f>SUMIF(Detail!$C$4:$C$274, Summary!$B27, Detail!$M$4:$M$274)</f>
        <v>0</v>
      </c>
      <c r="Q27" s="26">
        <f>SUMIF(Detail!$C$4:$C$274, Summary!$B27, Detail!$N$4:$N$274)</f>
        <v>0</v>
      </c>
      <c r="R27" s="80">
        <f t="shared" si="4"/>
        <v>-1.0004441719502211E-11</v>
      </c>
      <c r="S27" s="80"/>
    </row>
    <row r="28" spans="1:19" s="6" customFormat="1" x14ac:dyDescent="0.25">
      <c r="A28" s="37" t="s">
        <v>61</v>
      </c>
      <c r="B28" s="13" t="s">
        <v>62</v>
      </c>
      <c r="C28" s="4">
        <f>179847+90000+4500</f>
        <v>274347</v>
      </c>
      <c r="D28" s="18">
        <f>SUMIF(Detail!$C$4:$C$506,Summary!$B28,Detail!$F$4:$F$506)</f>
        <v>261610.20999999996</v>
      </c>
      <c r="E28" s="18">
        <f>SUMIF(Detail!$C$4:$C$506,Summary!$B28,Detail!$G$4:$G$506)</f>
        <v>18070.239999999998</v>
      </c>
      <c r="F28" s="42">
        <f t="shared" si="5"/>
        <v>1.0194405260491275</v>
      </c>
      <c r="G28" s="76">
        <f t="shared" si="0"/>
        <v>0</v>
      </c>
      <c r="H28" s="18">
        <f>SUMIF(Detail!$C$4:$C$506,Summary!$B28,Detail!$H$4:$H$506)</f>
        <v>261111.90999999997</v>
      </c>
      <c r="I28" s="18">
        <f>SUMIF(Detail!$C$4:$C$506,Summary!$B28,Detail!$I$4:$I$506)</f>
        <v>13235.09</v>
      </c>
      <c r="J28" s="18">
        <f t="shared" si="1"/>
        <v>274347</v>
      </c>
      <c r="K28" s="18">
        <f t="shared" si="2"/>
        <v>39166.786499999995</v>
      </c>
      <c r="L28" s="18">
        <f t="shared" si="3"/>
        <v>25931.696499999995</v>
      </c>
      <c r="M28" s="18">
        <f>SUMIF(Detail!$C$4:$C$506,Summary!$B28,Detail!$J$4:$J$506)</f>
        <v>0</v>
      </c>
      <c r="N28" s="18">
        <f>SUMIF(Detail!$C$4:$C$506,Summary!$B28,Detail!$K$4:$K$506)</f>
        <v>0</v>
      </c>
      <c r="O28" s="18">
        <f>SUMIF(Detail!$C$4:$C$506,Summary!$B28,Detail!$L$4:$L$506)</f>
        <v>0</v>
      </c>
      <c r="P28" s="18">
        <f>SUMIF(Detail!$C$4:$C$274, Summary!$B28, Detail!$M$4:$M$274)</f>
        <v>0</v>
      </c>
      <c r="Q28" s="26">
        <f>SUMIF(Detail!$C$4:$C$274, Summary!$B28, Detail!$N$4:$N$274)</f>
        <v>5333.4499999999971</v>
      </c>
      <c r="R28" s="80">
        <f t="shared" si="4"/>
        <v>-1.8189894035458565E-11</v>
      </c>
      <c r="S28" s="80"/>
    </row>
    <row r="29" spans="1:19" s="6" customFormat="1" x14ac:dyDescent="0.25">
      <c r="A29" s="37" t="s">
        <v>16</v>
      </c>
      <c r="B29" s="13" t="s">
        <v>17</v>
      </c>
      <c r="C29" s="4">
        <f>+SUM(114361-25000)</f>
        <v>89361</v>
      </c>
      <c r="D29" s="18">
        <f>SUMIF(Detail!$C$4:$C$506,Summary!$B29,Detail!$F$4:$F$506)</f>
        <v>76628.73</v>
      </c>
      <c r="E29" s="18">
        <f>SUMIF(Detail!$C$4:$C$506,Summary!$B29,Detail!$G$4:$G$506)</f>
        <v>11622.66</v>
      </c>
      <c r="F29" s="42">
        <f t="shared" si="5"/>
        <v>0.98758283815087122</v>
      </c>
      <c r="G29" s="76">
        <f t="shared" si="0"/>
        <v>1237.9600000000064</v>
      </c>
      <c r="H29" s="18">
        <f>SUMIF(Detail!$C$4:$C$506,Summary!$B29,Detail!$H$4:$H$506)</f>
        <v>76628.73</v>
      </c>
      <c r="I29" s="18">
        <f>SUMIF(Detail!$C$4:$C$506,Summary!$B29,Detail!$I$4:$I$506)</f>
        <v>11494.31</v>
      </c>
      <c r="J29" s="18">
        <f t="shared" si="1"/>
        <v>88123.04</v>
      </c>
      <c r="K29" s="18">
        <f t="shared" si="2"/>
        <v>11494.309499999999</v>
      </c>
      <c r="L29" s="18">
        <f t="shared" si="3"/>
        <v>-5.0000000010186341E-4</v>
      </c>
      <c r="M29" s="18">
        <f>SUMIF(Detail!$C$4:$C$506,Summary!$B29,Detail!$J$4:$J$506)</f>
        <v>0</v>
      </c>
      <c r="N29" s="18">
        <f>SUMIF(Detail!$C$4:$C$506,Summary!$B29,Detail!$K$4:$K$506)</f>
        <v>128.34999999999991</v>
      </c>
      <c r="O29" s="18">
        <f>SUMIF(Detail!$C$4:$C$506,Summary!$B29,Detail!$L$4:$L$506)</f>
        <v>0</v>
      </c>
      <c r="P29" s="18">
        <f>SUMIF(Detail!$C$4:$C$274, Summary!$B29, Detail!$M$4:$M$274)</f>
        <v>0</v>
      </c>
      <c r="Q29" s="26">
        <f>SUMIF(Detail!$C$4:$C$274, Summary!$B29, Detail!$N$4:$N$274)</f>
        <v>0</v>
      </c>
      <c r="R29" s="80">
        <f t="shared" si="4"/>
        <v>4.0927261579781771E-12</v>
      </c>
      <c r="S29" s="80"/>
    </row>
    <row r="30" spans="1:19" x14ac:dyDescent="0.25">
      <c r="A30" s="38" t="s">
        <v>6</v>
      </c>
      <c r="B30" s="13" t="s">
        <v>29</v>
      </c>
      <c r="C30" s="4">
        <f>SUM(71673-10000+20000)</f>
        <v>81673</v>
      </c>
      <c r="D30" s="18">
        <f>SUMIF(Detail!$C$4:$C$506,Summary!$B30,Detail!$F$4:$F$506)</f>
        <v>69597.47</v>
      </c>
      <c r="E30" s="18">
        <f>SUMIF(Detail!$C$4:$C$506,Summary!$B30,Detail!$G$4:$G$506)</f>
        <v>11994.59</v>
      </c>
      <c r="F30" s="42">
        <f t="shared" si="5"/>
        <v>0.99900897481419804</v>
      </c>
      <c r="G30" s="76">
        <f t="shared" si="0"/>
        <v>1635.9100000000035</v>
      </c>
      <c r="H30" s="18">
        <f>SUMIF(Detail!$C$4:$C$506,Summary!$B30,Detail!$H$4:$H$506)</f>
        <v>69597.47</v>
      </c>
      <c r="I30" s="18">
        <f>SUMIF(Detail!$C$4:$C$506,Summary!$B30,Detail!$I$4:$I$506)</f>
        <v>10439.619999999999</v>
      </c>
      <c r="J30" s="18">
        <f t="shared" si="1"/>
        <v>80037.09</v>
      </c>
      <c r="K30" s="18">
        <f t="shared" si="2"/>
        <v>10439.620499999999</v>
      </c>
      <c r="L30" s="18">
        <f t="shared" si="3"/>
        <v>5.0000000010186341E-4</v>
      </c>
      <c r="M30" s="18">
        <f>SUMIF(Detail!$C$4:$C$506,Summary!$B30,Detail!$J$4:$J$506)</f>
        <v>0</v>
      </c>
      <c r="N30" s="18">
        <f>SUMIF(Detail!$C$4:$C$506,Summary!$B30,Detail!$K$4:$K$506)</f>
        <v>1554.9699999999996</v>
      </c>
      <c r="O30" s="18">
        <f>SUMIF(Detail!$C$4:$C$506,Summary!$B30,Detail!$L$4:$L$506)</f>
        <v>0</v>
      </c>
      <c r="P30" s="18">
        <f>SUMIF(Detail!$C$4:$C$274, Summary!$B30, Detail!$M$4:$M$274)</f>
        <v>0</v>
      </c>
      <c r="Q30" s="26">
        <f>SUMIF(Detail!$C$4:$C$274, Summary!$B30, Detail!$N$4:$N$274)</f>
        <v>0</v>
      </c>
      <c r="R30" s="80">
        <f t="shared" si="4"/>
        <v>-2.0463630789890885E-12</v>
      </c>
      <c r="S30" s="80"/>
    </row>
    <row r="31" spans="1:19" x14ac:dyDescent="0.25">
      <c r="A31" s="38" t="s">
        <v>87</v>
      </c>
      <c r="B31" s="13" t="s">
        <v>95</v>
      </c>
      <c r="C31" s="4">
        <f>260275+7166.09</f>
        <v>267441.09000000003</v>
      </c>
      <c r="D31" s="18">
        <f>SUMIF(Detail!$C$4:$C$506,Summary!$B31,Detail!$F$4:$F$506)</f>
        <v>246238.56</v>
      </c>
      <c r="E31" s="18">
        <f>SUMIF(Detail!$C$4:$C$506,Summary!$B31,Detail!$G$4:$G$506)</f>
        <v>21202.530000000002</v>
      </c>
      <c r="F31" s="42">
        <f t="shared" si="5"/>
        <v>1</v>
      </c>
      <c r="G31" s="76">
        <f t="shared" si="0"/>
        <v>0</v>
      </c>
      <c r="H31" s="18">
        <f>SUMIF(Detail!$C$4:$C$506,Summary!$B31,Detail!$H$4:$H$506)</f>
        <v>246238.56</v>
      </c>
      <c r="I31" s="18">
        <f>SUMIF(Detail!$C$4:$C$506,Summary!$B31,Detail!$I$4:$I$506)</f>
        <v>21202.530000000002</v>
      </c>
      <c r="J31" s="18">
        <f t="shared" si="1"/>
        <v>267441.09000000003</v>
      </c>
      <c r="K31" s="18">
        <f t="shared" si="2"/>
        <v>36935.784</v>
      </c>
      <c r="L31" s="18">
        <f t="shared" si="3"/>
        <v>15733.253999999997</v>
      </c>
      <c r="M31" s="18">
        <f>SUMIF(Detail!$C$4:$C$506,Summary!$B31,Detail!$J$4:$J$506)</f>
        <v>0</v>
      </c>
      <c r="N31" s="18">
        <f>SUMIF(Detail!$C$4:$C$506,Summary!$B31,Detail!$K$4:$K$506)</f>
        <v>0</v>
      </c>
      <c r="O31" s="18">
        <f>SUMIF(Detail!$C$4:$C$506,Summary!$B31,Detail!$L$4:$L$506)</f>
        <v>0</v>
      </c>
      <c r="P31" s="18">
        <f>SUMIF(Detail!$C$4:$C$274, Summary!$B31, Detail!$M$4:$M$274)</f>
        <v>0</v>
      </c>
      <c r="Q31" s="26">
        <f>SUMIF(Detail!$C$4:$C$274, Summary!$B31, Detail!$N$4:$N$274)</f>
        <v>0</v>
      </c>
      <c r="R31" s="80">
        <f t="shared" si="4"/>
        <v>2.5465851649641991E-11</v>
      </c>
      <c r="S31" s="80"/>
    </row>
    <row r="32" spans="1:19" s="6" customFormat="1" x14ac:dyDescent="0.25">
      <c r="A32" s="37" t="s">
        <v>49</v>
      </c>
      <c r="B32" s="13" t="s">
        <v>50</v>
      </c>
      <c r="C32" s="4">
        <f>65085-28100</f>
        <v>36985</v>
      </c>
      <c r="D32" s="18">
        <f>SUMIF(Detail!$C$4:$C$506,Summary!$B32,Detail!$F$4:$F$506)</f>
        <v>19562.489999999998</v>
      </c>
      <c r="E32" s="18">
        <f>SUMIF(Detail!$C$4:$C$506,Summary!$B32,Detail!$G$4:$G$506)</f>
        <v>3332</v>
      </c>
      <c r="F32" s="42">
        <f t="shared" si="5"/>
        <v>0.61902095444098959</v>
      </c>
      <c r="G32" s="76">
        <f t="shared" si="0"/>
        <v>14488.130000000001</v>
      </c>
      <c r="H32" s="18">
        <f>SUMIF(Detail!$C$4:$C$506,Summary!$B32,Detail!$H$4:$H$506)</f>
        <v>19562.489999999998</v>
      </c>
      <c r="I32" s="18">
        <f>SUMIF(Detail!$C$4:$C$506,Summary!$B32,Detail!$I$4:$I$506)</f>
        <v>2934.38</v>
      </c>
      <c r="J32" s="18">
        <f t="shared" si="1"/>
        <v>22496.87</v>
      </c>
      <c r="K32" s="18">
        <f t="shared" si="2"/>
        <v>2934.3734999999997</v>
      </c>
      <c r="L32" s="18">
        <f t="shared" si="3"/>
        <v>-6.5000000004147296E-3</v>
      </c>
      <c r="M32" s="18">
        <f>SUMIF(Detail!$C$4:$C$506,Summary!$B32,Detail!$J$4:$J$506)</f>
        <v>0</v>
      </c>
      <c r="N32" s="18">
        <f>SUMIF(Detail!$C$4:$C$506,Summary!$B32,Detail!$K$4:$K$506)</f>
        <v>397.62</v>
      </c>
      <c r="O32" s="18">
        <f>SUMIF(Detail!$C$4:$C$506,Summary!$B32,Detail!$L$4:$L$506)</f>
        <v>0</v>
      </c>
      <c r="P32" s="18">
        <f>SUMIF(Detail!$C$4:$C$274, Summary!$B32, Detail!$M$4:$M$274)</f>
        <v>0</v>
      </c>
      <c r="Q32" s="26">
        <f>SUMIF(Detail!$C$4:$C$274, Summary!$B32, Detail!$N$4:$N$274)</f>
        <v>0</v>
      </c>
      <c r="R32" s="80">
        <f t="shared" si="4"/>
        <v>-1.1368683772161603E-13</v>
      </c>
      <c r="S32" s="80"/>
    </row>
    <row r="33" spans="1:19" s="6" customFormat="1" x14ac:dyDescent="0.25">
      <c r="A33" s="37" t="s">
        <v>73</v>
      </c>
      <c r="B33" s="13" t="s">
        <v>74</v>
      </c>
      <c r="C33" s="4">
        <v>90009</v>
      </c>
      <c r="D33" s="18">
        <f>SUMIF(Detail!$C$4:$C$506,Summary!$B33,Detail!$F$4:$F$506)</f>
        <v>27226.78</v>
      </c>
      <c r="E33" s="18">
        <f>SUMIF(Detail!$C$4:$C$506,Summary!$B33,Detail!$G$4:$G$506)</f>
        <v>17065.090000000004</v>
      </c>
      <c r="F33" s="42">
        <f t="shared" si="5"/>
        <v>0.49208268062082683</v>
      </c>
      <c r="G33" s="76">
        <f t="shared" si="0"/>
        <v>47663.21</v>
      </c>
      <c r="H33" s="18">
        <f>SUMIF(Detail!$C$4:$C$506,Summary!$B33,Detail!$H$4:$H$506)</f>
        <v>27226.78</v>
      </c>
      <c r="I33" s="18">
        <f>SUMIF(Detail!$C$4:$C$506,Summary!$B33,Detail!$I$4:$I$506)</f>
        <v>15119.01</v>
      </c>
      <c r="J33" s="18">
        <f t="shared" si="1"/>
        <v>42345.79</v>
      </c>
      <c r="K33" s="18">
        <f t="shared" si="2"/>
        <v>4084.0169999999998</v>
      </c>
      <c r="L33" s="18">
        <f t="shared" si="3"/>
        <v>-11034.993</v>
      </c>
      <c r="M33" s="18">
        <f>SUMIF(Detail!$C$4:$C$506,Summary!$B33,Detail!$J$4:$J$506)</f>
        <v>0</v>
      </c>
      <c r="N33" s="18">
        <f>SUMIF(Detail!$C$4:$C$506,Summary!$B33,Detail!$K$4:$K$506)</f>
        <v>1946.0800000000002</v>
      </c>
      <c r="O33" s="18">
        <f>SUMIF(Detail!$C$4:$C$506,Summary!$B33,Detail!$L$4:$L$506)</f>
        <v>0</v>
      </c>
      <c r="P33" s="18">
        <f>SUMIF(Detail!$C$4:$C$274, Summary!$B33, Detail!$M$4:$M$274)</f>
        <v>0</v>
      </c>
      <c r="Q33" s="26">
        <f>SUMIF(Detail!$C$4:$C$274, Summary!$B33, Detail!$N$4:$N$274)</f>
        <v>0</v>
      </c>
      <c r="R33" s="80">
        <f t="shared" si="4"/>
        <v>3.4106051316484809E-12</v>
      </c>
      <c r="S33" s="80"/>
    </row>
    <row r="34" spans="1:19" s="6" customFormat="1" x14ac:dyDescent="0.25">
      <c r="A34" s="37" t="s">
        <v>51</v>
      </c>
      <c r="B34" s="13" t="s">
        <v>52</v>
      </c>
      <c r="C34" s="4">
        <v>78477</v>
      </c>
      <c r="D34" s="18">
        <f>SUMIF(Detail!$C$4:$C$506,Summary!$B34,Detail!$F$4:$F$506)</f>
        <v>55714.469999999979</v>
      </c>
      <c r="E34" s="18">
        <f>SUMIF(Detail!$C$4:$C$506,Summary!$B34,Detail!$G$4:$G$506)</f>
        <v>11953.08</v>
      </c>
      <c r="F34" s="42">
        <f t="shared" si="5"/>
        <v>0.86225964295271196</v>
      </c>
      <c r="G34" s="76">
        <f t="shared" si="0"/>
        <v>14405.370000000024</v>
      </c>
      <c r="H34" s="18">
        <f>SUMIF(Detail!$C$4:$C$506,Summary!$B34,Detail!$H$4:$H$506)</f>
        <v>55714.469999999979</v>
      </c>
      <c r="I34" s="18">
        <f>SUMIF(Detail!$C$4:$C$506,Summary!$B34,Detail!$I$4:$I$506)</f>
        <v>8357.16</v>
      </c>
      <c r="J34" s="18">
        <f t="shared" si="1"/>
        <v>64071.629999999976</v>
      </c>
      <c r="K34" s="18">
        <f t="shared" si="2"/>
        <v>8357.1704999999965</v>
      </c>
      <c r="L34" s="18">
        <f t="shared" si="3"/>
        <v>1.0499999996682163E-2</v>
      </c>
      <c r="M34" s="18">
        <f>SUMIF(Detail!$C$4:$C$506,Summary!$B34,Detail!$J$4:$J$506)</f>
        <v>0</v>
      </c>
      <c r="N34" s="18">
        <f>SUMIF(Detail!$C$4:$C$506,Summary!$B34,Detail!$K$4:$K$506)</f>
        <v>3595.92</v>
      </c>
      <c r="O34" s="18">
        <f>SUMIF(Detail!$C$4:$C$506,Summary!$B34,Detail!$L$4:$L$506)</f>
        <v>0</v>
      </c>
      <c r="P34" s="18">
        <f>SUMIF(Detail!$C$4:$C$274, Summary!$B34, Detail!$M$4:$M$274)</f>
        <v>0</v>
      </c>
      <c r="Q34" s="26">
        <f>SUMIF(Detail!$C$4:$C$274, Summary!$B34, Detail!$N$4:$N$274)</f>
        <v>0</v>
      </c>
      <c r="R34" s="80">
        <f t="shared" si="4"/>
        <v>-5.4569682106375694E-12</v>
      </c>
      <c r="S34" s="80"/>
    </row>
    <row r="35" spans="1:19" x14ac:dyDescent="0.25">
      <c r="A35" s="38" t="s">
        <v>47</v>
      </c>
      <c r="B35" s="13" t="s">
        <v>48</v>
      </c>
      <c r="C35" s="4">
        <f>SUM(241139-15000-25000)</f>
        <v>201139</v>
      </c>
      <c r="D35" s="18">
        <f>SUMIF(Detail!$C$4:$C$506,Summary!$B35,Detail!$F$4:$F$506)</f>
        <v>162108.5</v>
      </c>
      <c r="E35" s="18">
        <f>SUMIF(Detail!$C$4:$C$506,Summary!$B35,Detail!$G$4:$G$506)</f>
        <v>23832.980000000003</v>
      </c>
      <c r="F35" s="42">
        <f t="shared" si="5"/>
        <v>0.92444269883016228</v>
      </c>
      <c r="G35" s="76">
        <f t="shared" si="0"/>
        <v>15197.51999999999</v>
      </c>
      <c r="H35" s="18">
        <f>SUMIF(Detail!$C$4:$C$506,Summary!$B35,Detail!$H$4:$H$506)</f>
        <v>162108.5</v>
      </c>
      <c r="I35" s="18">
        <f>SUMIF(Detail!$C$4:$C$506,Summary!$B35,Detail!$I$4:$I$506)</f>
        <v>23832.980000000003</v>
      </c>
      <c r="J35" s="18">
        <f t="shared" si="1"/>
        <v>185941.48</v>
      </c>
      <c r="K35" s="18">
        <f t="shared" si="2"/>
        <v>24316.274999999998</v>
      </c>
      <c r="L35" s="18">
        <f t="shared" si="3"/>
        <v>483.29499999999462</v>
      </c>
      <c r="M35" s="18">
        <f>SUMIF(Detail!$C$4:$C$506,Summary!$B35,Detail!$J$4:$J$506)</f>
        <v>0</v>
      </c>
      <c r="N35" s="18">
        <f>SUMIF(Detail!$C$4:$C$506,Summary!$B35,Detail!$K$4:$K$506)</f>
        <v>0</v>
      </c>
      <c r="O35" s="18">
        <f>SUMIF(Detail!$C$4:$C$506,Summary!$B35,Detail!$L$4:$L$506)</f>
        <v>0</v>
      </c>
      <c r="P35" s="18">
        <f>SUMIF(Detail!$C$4:$C$274, Summary!$B35, Detail!$M$4:$M$274)</f>
        <v>0</v>
      </c>
      <c r="Q35" s="26">
        <f>SUMIF(Detail!$C$4:$C$274, Summary!$B35, Detail!$N$4:$N$274)</f>
        <v>0</v>
      </c>
      <c r="R35" s="80">
        <f t="shared" si="4"/>
        <v>7.2759576141834259E-12</v>
      </c>
      <c r="S35" s="80"/>
    </row>
    <row r="36" spans="1:19" x14ac:dyDescent="0.25">
      <c r="A36" s="38" t="s">
        <v>6</v>
      </c>
      <c r="B36" s="13" t="s">
        <v>30</v>
      </c>
      <c r="C36" s="4">
        <v>94969</v>
      </c>
      <c r="D36" s="18">
        <f>SUMIF(Detail!$C$4:$C$506,Summary!$B36,Detail!$F$4:$F$506)</f>
        <v>82524.69</v>
      </c>
      <c r="E36" s="18">
        <f>SUMIF(Detail!$C$4:$C$506,Summary!$B36,Detail!$G$4:$G$506)</f>
        <v>15038.37</v>
      </c>
      <c r="F36" s="42">
        <f t="shared" si="5"/>
        <v>1.0273148079899757</v>
      </c>
      <c r="G36" s="76">
        <f t="shared" ref="G36:G56" si="6">SUM(C36-J36)</f>
        <v>65.610000000000582</v>
      </c>
      <c r="H36" s="18">
        <f>SUMIF(Detail!$C$4:$C$506,Summary!$B36,Detail!$H$4:$H$506)</f>
        <v>82524.69</v>
      </c>
      <c r="I36" s="18">
        <f>SUMIF(Detail!$C$4:$C$506,Summary!$B36,Detail!$I$4:$I$506)</f>
        <v>12378.7</v>
      </c>
      <c r="J36" s="18">
        <f t="shared" ref="J36:J59" si="7">SUM(H36+I36)</f>
        <v>94903.39</v>
      </c>
      <c r="K36" s="18">
        <f t="shared" ref="K36:K56" si="8">SUM(H36*0.15)</f>
        <v>12378.7035</v>
      </c>
      <c r="L36" s="18">
        <f t="shared" ref="L36:L56" si="9">SUM(K36-I36)</f>
        <v>3.4999999988940544E-3</v>
      </c>
      <c r="M36" s="18">
        <f>SUMIF(Detail!$C$4:$C$506,Summary!$B36,Detail!$J$4:$J$506)</f>
        <v>0</v>
      </c>
      <c r="N36" s="18">
        <f>SUMIF(Detail!$C$4:$C$506,Summary!$B36,Detail!$K$4:$K$506)</f>
        <v>2659.67</v>
      </c>
      <c r="O36" s="18">
        <f>SUMIF(Detail!$C$4:$C$506,Summary!$B36,Detail!$L$4:$L$506)</f>
        <v>0</v>
      </c>
      <c r="P36" s="18">
        <f>SUMIF(Detail!$C$4:$C$274, Summary!$B36, Detail!$M$4:$M$274)</f>
        <v>0</v>
      </c>
      <c r="Q36" s="26">
        <f>SUMIF(Detail!$C$4:$C$274, Summary!$B36, Detail!$N$4:$N$274)</f>
        <v>0</v>
      </c>
      <c r="R36" s="80">
        <f t="shared" ref="R36:R56" si="10">(D36+E36)-H36-I36-M36-N36-O36-P36-Q36</f>
        <v>-5.4569682106375694E-12</v>
      </c>
      <c r="S36" s="80"/>
    </row>
    <row r="37" spans="1:19" s="6" customFormat="1" x14ac:dyDescent="0.25">
      <c r="A37" s="37" t="s">
        <v>6</v>
      </c>
      <c r="B37" s="13" t="s">
        <v>79</v>
      </c>
      <c r="C37" s="4">
        <f>109488-12700</f>
        <v>96788</v>
      </c>
      <c r="D37" s="18">
        <f>SUMIF(Detail!$C$4:$C$506,Summary!$B37,Detail!$F$4:$F$506)</f>
        <v>84143.98</v>
      </c>
      <c r="E37" s="18">
        <f>SUMIF(Detail!$C$4:$C$506,Summary!$B37,Detail!$G$4:$G$506)</f>
        <v>17300.47</v>
      </c>
      <c r="F37" s="42">
        <f t="shared" si="5"/>
        <v>1.0481097863371491</v>
      </c>
      <c r="G37" s="76">
        <f t="shared" si="6"/>
        <v>22.419999999998254</v>
      </c>
      <c r="H37" s="18">
        <f>SUMIF(Detail!$C$4:$C$506,Summary!$B37,Detail!$H$4:$H$506)</f>
        <v>84143.98</v>
      </c>
      <c r="I37" s="18">
        <f>SUMIF(Detail!$C$4:$C$506,Summary!$B37,Detail!$I$4:$I$506)</f>
        <v>12621.600000000002</v>
      </c>
      <c r="J37" s="18">
        <f t="shared" si="7"/>
        <v>96765.58</v>
      </c>
      <c r="K37" s="18">
        <f t="shared" si="8"/>
        <v>12621.597</v>
      </c>
      <c r="L37" s="18">
        <f t="shared" si="9"/>
        <v>-3.0000000024301698E-3</v>
      </c>
      <c r="M37" s="18">
        <f>SUMIF(Detail!$C$4:$C$506,Summary!$B37,Detail!$J$4:$J$506)</f>
        <v>0</v>
      </c>
      <c r="N37" s="18">
        <f>SUMIF(Detail!$C$4:$C$506,Summary!$B37,Detail!$K$4:$K$506)</f>
        <v>4678.87</v>
      </c>
      <c r="O37" s="18">
        <f>SUMIF(Detail!$C$4:$C$506,Summary!$B37,Detail!$L$4:$L$506)</f>
        <v>0</v>
      </c>
      <c r="P37" s="18">
        <f>SUMIF(Detail!$C$4:$C$274, Summary!$B37, Detail!$M$4:$M$274)</f>
        <v>0</v>
      </c>
      <c r="Q37" s="26">
        <f>SUMIF(Detail!$C$4:$C$274, Summary!$B37, Detail!$N$4:$N$274)</f>
        <v>0</v>
      </c>
      <c r="R37" s="80">
        <f t="shared" si="10"/>
        <v>-9.0949470177292824E-13</v>
      </c>
      <c r="S37" s="80"/>
    </row>
    <row r="38" spans="1:19" s="6" customFormat="1" x14ac:dyDescent="0.25">
      <c r="A38" s="37" t="s">
        <v>67</v>
      </c>
      <c r="B38" s="13" t="s">
        <v>68</v>
      </c>
      <c r="C38" s="4">
        <f>SUM(471975+10000+10000+50000+13000)</f>
        <v>554975</v>
      </c>
      <c r="D38" s="18">
        <f>SUMIF(Detail!$C$4:$C$506,Summary!$B38,Detail!$F$4:$F$506)</f>
        <v>476001.82</v>
      </c>
      <c r="E38" s="18">
        <f>SUMIF(Detail!$C$4:$C$506,Summary!$B38,Detail!$G$4:$G$506)</f>
        <v>71400.259999999995</v>
      </c>
      <c r="F38" s="42">
        <f t="shared" si="5"/>
        <v>0.98635448443623575</v>
      </c>
      <c r="G38" s="76">
        <f t="shared" si="6"/>
        <v>7572.9200000000419</v>
      </c>
      <c r="H38" s="18">
        <f>SUMIF(Detail!$C$4:$C$506,Summary!$B38,Detail!$H$4:$H$506)</f>
        <v>476001.82</v>
      </c>
      <c r="I38" s="18">
        <f>SUMIF(Detail!$C$4:$C$506,Summary!$B38,Detail!$I$4:$I$506)</f>
        <v>71400.259999999995</v>
      </c>
      <c r="J38" s="18">
        <f t="shared" si="7"/>
        <v>547402.07999999996</v>
      </c>
      <c r="K38" s="18">
        <f t="shared" si="8"/>
        <v>71400.273000000001</v>
      </c>
      <c r="L38" s="18">
        <f t="shared" si="9"/>
        <v>1.3000000006286427E-2</v>
      </c>
      <c r="M38" s="18">
        <f>SUMIF(Detail!$C$4:$C$506,Summary!$B38,Detail!$J$4:$J$506)</f>
        <v>0</v>
      </c>
      <c r="N38" s="18">
        <f>SUMIF(Detail!$C$4:$C$506,Summary!$B38,Detail!$K$4:$K$506)</f>
        <v>0</v>
      </c>
      <c r="O38" s="18">
        <f>SUMIF(Detail!$C$4:$C$506,Summary!$B38,Detail!$L$4:$L$506)</f>
        <v>0</v>
      </c>
      <c r="P38" s="18">
        <f>SUMIF(Detail!$C$4:$C$274, Summary!$B38, Detail!$M$4:$M$274)</f>
        <v>0</v>
      </c>
      <c r="Q38" s="26">
        <f>SUMIF(Detail!$C$4:$C$274, Summary!$B38, Detail!$N$4:$N$274)</f>
        <v>0</v>
      </c>
      <c r="R38" s="80">
        <f t="shared" si="10"/>
        <v>-4.3655745685100555E-11</v>
      </c>
      <c r="S38" s="80"/>
    </row>
    <row r="39" spans="1:19" s="6" customFormat="1" x14ac:dyDescent="0.25">
      <c r="A39" s="37" t="s">
        <v>20</v>
      </c>
      <c r="B39" s="13" t="s">
        <v>21</v>
      </c>
      <c r="C39" s="4">
        <f>SUM(298917+15000+106000)</f>
        <v>419917</v>
      </c>
      <c r="D39" s="18">
        <f>SUMIF(Detail!$C$4:$C$506,Summary!$B39,Detail!$F$4:$F$506)</f>
        <v>328303.21000000002</v>
      </c>
      <c r="E39" s="18">
        <f>SUMIF(Detail!$C$4:$C$506,Summary!$B39,Detail!$G$4:$G$506)</f>
        <v>114375.51</v>
      </c>
      <c r="F39" s="42">
        <f t="shared" si="5"/>
        <v>1.0542052834250579</v>
      </c>
      <c r="G39" s="76">
        <f t="shared" si="6"/>
        <v>42368.299999999988</v>
      </c>
      <c r="H39" s="18">
        <f>SUMIF(Detail!$C$4:$C$506,Summary!$B39,Detail!$H$4:$H$506)</f>
        <v>328303.21000000002</v>
      </c>
      <c r="I39" s="18">
        <f>SUMIF(Detail!$C$4:$C$506,Summary!$B39,Detail!$I$4:$I$506)</f>
        <v>49245.49</v>
      </c>
      <c r="J39" s="18">
        <f t="shared" si="7"/>
        <v>377548.7</v>
      </c>
      <c r="K39" s="18">
        <f t="shared" si="8"/>
        <v>49245.481500000002</v>
      </c>
      <c r="L39" s="18">
        <f t="shared" si="9"/>
        <v>-8.4999999962747097E-3</v>
      </c>
      <c r="M39" s="18">
        <f>SUMIF(Detail!$C$4:$C$506,Summary!$B39,Detail!$J$4:$J$506)</f>
        <v>0</v>
      </c>
      <c r="N39" s="18">
        <f>SUMIF(Detail!$C$4:$C$506,Summary!$B39,Detail!$K$4:$K$506)</f>
        <v>65130.02</v>
      </c>
      <c r="O39" s="18">
        <f>SUMIF(Detail!$C$4:$C$506,Summary!$B39,Detail!$L$4:$L$506)</f>
        <v>0</v>
      </c>
      <c r="P39" s="18">
        <f>SUMIF(Detail!$C$4:$C$274, Summary!$B39, Detail!$M$4:$M$274)</f>
        <v>0</v>
      </c>
      <c r="Q39" s="26">
        <f>SUMIF(Detail!$C$4:$C$274, Summary!$B39, Detail!$N$4:$N$274)</f>
        <v>0</v>
      </c>
      <c r="R39" s="80">
        <f t="shared" si="10"/>
        <v>1.4551915228366852E-11</v>
      </c>
      <c r="S39" s="80"/>
    </row>
    <row r="40" spans="1:19" x14ac:dyDescent="0.25">
      <c r="A40" s="38" t="s">
        <v>35</v>
      </c>
      <c r="B40" s="13" t="s">
        <v>36</v>
      </c>
      <c r="C40" s="4">
        <f>132255-56800</f>
        <v>75455</v>
      </c>
      <c r="D40" s="18">
        <f>SUMIF(Detail!$C$4:$C$506,Summary!$B40,Detail!$F$4:$F$506)</f>
        <v>51981.75</v>
      </c>
      <c r="E40" s="18">
        <f>SUMIF(Detail!$C$4:$C$506,Summary!$B40,Detail!$G$4:$G$506)</f>
        <v>7319.6200000000008</v>
      </c>
      <c r="F40" s="42">
        <f t="shared" si="5"/>
        <v>0.78591703664435764</v>
      </c>
      <c r="G40" s="76">
        <f t="shared" si="6"/>
        <v>16153.629999999997</v>
      </c>
      <c r="H40" s="18">
        <f>SUMIF(Detail!$C$4:$C$506,Summary!$B40,Detail!$H$4:$H$506)</f>
        <v>51981.75</v>
      </c>
      <c r="I40" s="18">
        <f>SUMIF(Detail!$C$4:$C$506,Summary!$B40,Detail!$I$4:$I$506)</f>
        <v>7319.6200000000008</v>
      </c>
      <c r="J40" s="18">
        <f t="shared" si="7"/>
        <v>59301.37</v>
      </c>
      <c r="K40" s="18">
        <f t="shared" si="8"/>
        <v>7797.2624999999998</v>
      </c>
      <c r="L40" s="18">
        <f t="shared" si="9"/>
        <v>477.64249999999902</v>
      </c>
      <c r="M40" s="18">
        <f>SUMIF(Detail!$C$4:$C$506,Summary!$B40,Detail!$J$4:$J$506)</f>
        <v>0</v>
      </c>
      <c r="N40" s="18">
        <f>SUMIF(Detail!$C$4:$C$506,Summary!$B40,Detail!$K$4:$K$506)</f>
        <v>0</v>
      </c>
      <c r="O40" s="18">
        <f>SUMIF(Detail!$C$4:$C$506,Summary!$B40,Detail!$L$4:$L$506)</f>
        <v>0</v>
      </c>
      <c r="P40" s="18">
        <f>SUMIF(Detail!$C$4:$C$274, Summary!$B40, Detail!$M$4:$M$274)</f>
        <v>0</v>
      </c>
      <c r="Q40" s="26">
        <f>SUMIF(Detail!$C$4:$C$274, Summary!$B40, Detail!$N$4:$N$274)</f>
        <v>0</v>
      </c>
      <c r="R40" s="80">
        <f t="shared" si="10"/>
        <v>1.8189894035458565E-12</v>
      </c>
      <c r="S40" s="80"/>
    </row>
    <row r="41" spans="1:19" s="6" customFormat="1" x14ac:dyDescent="0.25">
      <c r="A41" s="37" t="s">
        <v>18</v>
      </c>
      <c r="B41" s="13" t="s">
        <v>19</v>
      </c>
      <c r="C41" s="4">
        <f>134078-10000</f>
        <v>124078</v>
      </c>
      <c r="D41" s="18">
        <f>SUMIF(Detail!$C$4:$C$506,Summary!$B41,Detail!$F$4:$F$506)</f>
        <v>101754.48</v>
      </c>
      <c r="E41" s="18">
        <f>SUMIF(Detail!$C$4:$C$506,Summary!$B41,Detail!$G$4:$G$506)</f>
        <v>17022.34</v>
      </c>
      <c r="F41" s="42">
        <f t="shared" si="5"/>
        <v>0.95727542352391237</v>
      </c>
      <c r="G41" s="76">
        <f t="shared" si="6"/>
        <v>7060.3500000000058</v>
      </c>
      <c r="H41" s="18">
        <f>SUMIF(Detail!$C$4:$C$506,Summary!$B41,Detail!$H$4:$H$506)</f>
        <v>101754.48</v>
      </c>
      <c r="I41" s="18">
        <f>SUMIF(Detail!$C$4:$C$506,Summary!$B41,Detail!$I$4:$I$506)</f>
        <v>15263.17</v>
      </c>
      <c r="J41" s="18">
        <f t="shared" si="7"/>
        <v>117017.65</v>
      </c>
      <c r="K41" s="18">
        <f t="shared" si="8"/>
        <v>15263.171999999999</v>
      </c>
      <c r="L41" s="18">
        <f t="shared" si="9"/>
        <v>1.9999999985884642E-3</v>
      </c>
      <c r="M41" s="18">
        <f>SUMIF(Detail!$C$4:$C$506,Summary!$B41,Detail!$J$4:$J$506)</f>
        <v>0</v>
      </c>
      <c r="N41" s="18">
        <f>SUMIF(Detail!$C$4:$C$506,Summary!$B41,Detail!$K$4:$K$506)</f>
        <v>1759.17</v>
      </c>
      <c r="O41" s="18">
        <f>SUMIF(Detail!$C$4:$C$506,Summary!$B41,Detail!$L$4:$L$506)</f>
        <v>0</v>
      </c>
      <c r="P41" s="18">
        <f>SUMIF(Detail!$C$4:$C$274, Summary!$B41, Detail!$M$4:$M$274)</f>
        <v>0</v>
      </c>
      <c r="Q41" s="26">
        <f>SUMIF(Detail!$C$4:$C$274, Summary!$B41, Detail!$N$4:$N$274)</f>
        <v>0</v>
      </c>
      <c r="R41" s="80">
        <f t="shared" si="10"/>
        <v>-3.637978807091713E-12</v>
      </c>
      <c r="S41" s="80"/>
    </row>
    <row r="42" spans="1:19" x14ac:dyDescent="0.25">
      <c r="A42" s="38" t="s">
        <v>63</v>
      </c>
      <c r="B42" s="13" t="s">
        <v>64</v>
      </c>
      <c r="C42" s="4">
        <f>325208+10588+1996.78</f>
        <v>337792.78</v>
      </c>
      <c r="D42" s="18">
        <f>SUMIF(Detail!$C$4:$C$506,Summary!$B42,Detail!$F$4:$F$506)</f>
        <v>294509.65000000002</v>
      </c>
      <c r="E42" s="18">
        <f>SUMIF(Detail!$C$4:$C$506,Summary!$B42,Detail!$G$4:$G$506)</f>
        <v>46679.040000000001</v>
      </c>
      <c r="F42" s="42">
        <f t="shared" si="5"/>
        <v>1.0100532344119373</v>
      </c>
      <c r="G42" s="76">
        <f t="shared" si="6"/>
        <v>5.8207660913467407E-11</v>
      </c>
      <c r="H42" s="18">
        <f>SUMIF(Detail!$C$4:$C$506,Summary!$B42,Detail!$H$4:$H$506)</f>
        <v>293732.84999999998</v>
      </c>
      <c r="I42" s="18">
        <f>SUMIF(Detail!$C$4:$C$506,Summary!$B42,Detail!$I$4:$I$506)</f>
        <v>44059.93</v>
      </c>
      <c r="J42" s="18">
        <f t="shared" si="7"/>
        <v>337792.77999999997</v>
      </c>
      <c r="K42" s="18">
        <f t="shared" si="8"/>
        <v>44059.927499999998</v>
      </c>
      <c r="L42" s="18">
        <f t="shared" si="9"/>
        <v>-2.5000000023283064E-3</v>
      </c>
      <c r="M42" s="18">
        <f>SUMIF(Detail!$C$4:$C$506,Summary!$B42,Detail!$J$4:$J$506)</f>
        <v>0</v>
      </c>
      <c r="N42" s="18">
        <f>SUMIF(Detail!$C$4:$C$506,Summary!$B42,Detail!$K$4:$K$506)</f>
        <v>2619.1100000000006</v>
      </c>
      <c r="O42" s="18">
        <f>SUMIF(Detail!$C$4:$C$506,Summary!$B42,Detail!$L$4:$L$506)</f>
        <v>0</v>
      </c>
      <c r="P42" s="18">
        <f>SUMIF(Detail!$C$4:$C$274, Summary!$B42, Detail!$M$4:$M$274)</f>
        <v>0</v>
      </c>
      <c r="Q42" s="26">
        <f>SUMIF(Detail!$C$4:$C$274, Summary!$B42, Detail!$N$4:$N$274)</f>
        <v>776.8</v>
      </c>
      <c r="R42" s="80">
        <f t="shared" si="10"/>
        <v>2.4783730623312294E-11</v>
      </c>
      <c r="S42" s="80"/>
    </row>
    <row r="43" spans="1:19" x14ac:dyDescent="0.25">
      <c r="A43" s="38" t="s">
        <v>6</v>
      </c>
      <c r="B43" s="13" t="s">
        <v>33</v>
      </c>
      <c r="C43" s="4">
        <f>SUM(129070-40000-40000-15200)</f>
        <v>33870</v>
      </c>
      <c r="D43" s="18">
        <f>SUMIF(Detail!$C$4:$C$506,Summary!$B43,Detail!$F$4:$F$506)</f>
        <v>29220.059999999998</v>
      </c>
      <c r="E43" s="18">
        <f>SUMIF(Detail!$C$4:$C$506,Summary!$B43,Detail!$G$4:$G$506)</f>
        <v>12441.400000000001</v>
      </c>
      <c r="F43" s="42">
        <f t="shared" si="5"/>
        <v>1.230040153528196</v>
      </c>
      <c r="G43" s="76">
        <f t="shared" si="6"/>
        <v>266.92000000000553</v>
      </c>
      <c r="H43" s="18">
        <f>SUMIF(Detail!$C$4:$C$506,Summary!$B43,Detail!$H$4:$H$506)</f>
        <v>29220.059999999998</v>
      </c>
      <c r="I43" s="18">
        <f>SUMIF(Detail!$C$4:$C$506,Summary!$B43,Detail!$I$4:$I$506)</f>
        <v>4383.0199999999995</v>
      </c>
      <c r="J43" s="18">
        <f t="shared" si="7"/>
        <v>33603.079999999994</v>
      </c>
      <c r="K43" s="18">
        <f t="shared" si="8"/>
        <v>4383.0089999999991</v>
      </c>
      <c r="L43" s="18">
        <f t="shared" si="9"/>
        <v>-1.1000000000422006E-2</v>
      </c>
      <c r="M43" s="18">
        <f>SUMIF(Detail!$C$4:$C$506,Summary!$B43,Detail!$J$4:$J$506)</f>
        <v>0</v>
      </c>
      <c r="N43" s="18">
        <f>SUMIF(Detail!$C$4:$C$506,Summary!$B43,Detail!$K$4:$K$506)</f>
        <v>8058.38</v>
      </c>
      <c r="O43" s="18">
        <f>SUMIF(Detail!$C$4:$C$506,Summary!$B43,Detail!$L$4:$L$506)</f>
        <v>0</v>
      </c>
      <c r="P43" s="18">
        <f>SUMIF(Detail!$C$4:$C$274, Summary!$B43, Detail!$M$4:$M$274)</f>
        <v>0</v>
      </c>
      <c r="Q43" s="26">
        <f>SUMIF(Detail!$C$4:$C$274, Summary!$B43, Detail!$N$4:$N$274)</f>
        <v>0</v>
      </c>
      <c r="R43" s="80">
        <f t="shared" si="10"/>
        <v>1.8189894035458565E-12</v>
      </c>
      <c r="S43" s="80"/>
    </row>
    <row r="44" spans="1:19" s="6" customFormat="1" x14ac:dyDescent="0.25">
      <c r="A44" s="37" t="s">
        <v>6</v>
      </c>
      <c r="B44" s="13" t="s">
        <v>31</v>
      </c>
      <c r="C44" s="4">
        <f>SUM(72646-5000+1300)</f>
        <v>68946</v>
      </c>
      <c r="D44" s="18">
        <f>SUMIF(Detail!$C$4:$C$506,Summary!$B44,Detail!$F$4:$F$506)</f>
        <v>59887.31</v>
      </c>
      <c r="E44" s="18">
        <f>SUMIF(Detail!$C$4:$C$506,Summary!$B44,Detail!$G$4:$G$506)</f>
        <v>10682.429999999998</v>
      </c>
      <c r="F44" s="42">
        <f t="shared" si="5"/>
        <v>1.0235508949032575</v>
      </c>
      <c r="G44" s="76">
        <f t="shared" si="6"/>
        <v>75.589999999996508</v>
      </c>
      <c r="H44" s="18">
        <f>SUMIF(Detail!$C$4:$C$506,Summary!$B44,Detail!$H$4:$H$506)</f>
        <v>59887.31</v>
      </c>
      <c r="I44" s="18">
        <f>SUMIF(Detail!$C$4:$C$506,Summary!$B44,Detail!$I$4:$I$506)</f>
        <v>8983.1</v>
      </c>
      <c r="J44" s="18">
        <f t="shared" si="7"/>
        <v>68870.41</v>
      </c>
      <c r="K44" s="18">
        <f t="shared" si="8"/>
        <v>8983.0964999999997</v>
      </c>
      <c r="L44" s="18">
        <f t="shared" si="9"/>
        <v>-3.5000000007130438E-3</v>
      </c>
      <c r="M44" s="18">
        <f>SUMIF(Detail!$C$4:$C$506,Summary!$B44,Detail!$J$4:$J$506)</f>
        <v>0</v>
      </c>
      <c r="N44" s="18">
        <f>SUMIF(Detail!$C$4:$C$506,Summary!$B44,Detail!$K$4:$K$506)</f>
        <v>1699.3300000000002</v>
      </c>
      <c r="O44" s="18">
        <f>SUMIF(Detail!$C$4:$C$506,Summary!$B44,Detail!$L$4:$L$506)</f>
        <v>0</v>
      </c>
      <c r="P44" s="18">
        <f>SUMIF(Detail!$C$4:$C$274, Summary!$B44, Detail!$M$4:$M$274)</f>
        <v>0</v>
      </c>
      <c r="Q44" s="26">
        <f>SUMIF(Detail!$C$4:$C$274, Summary!$B44, Detail!$N$4:$N$274)</f>
        <v>0</v>
      </c>
      <c r="R44" s="80">
        <f t="shared" si="10"/>
        <v>-7.503331289626658E-12</v>
      </c>
      <c r="S44" s="80"/>
    </row>
    <row r="45" spans="1:19" x14ac:dyDescent="0.25">
      <c r="A45" s="38" t="s">
        <v>6</v>
      </c>
      <c r="B45" s="13" t="s">
        <v>10</v>
      </c>
      <c r="C45" s="4">
        <f>SUM(151853+40000+20000)</f>
        <v>211853</v>
      </c>
      <c r="D45" s="18">
        <f>SUMIF(Detail!$C$4:$C$506,Summary!$B45,Detail!$F$4:$F$506)</f>
        <v>184201.34000000003</v>
      </c>
      <c r="E45" s="18">
        <f>SUMIF(Detail!$C$4:$C$506,Summary!$B45,Detail!$G$4:$G$506)</f>
        <v>31094.18</v>
      </c>
      <c r="F45" s="42">
        <f t="shared" si="5"/>
        <v>1.0162495692768099</v>
      </c>
      <c r="G45" s="76">
        <f t="shared" si="6"/>
        <v>21.459999999962747</v>
      </c>
      <c r="H45" s="18">
        <f>SUMIF(Detail!$C$4:$C$506,Summary!$B45,Detail!$H$4:$H$506)</f>
        <v>184201.34000000003</v>
      </c>
      <c r="I45" s="18">
        <f>SUMIF(Detail!$C$4:$C$506,Summary!$B45,Detail!$I$4:$I$506)</f>
        <v>27630.199999999997</v>
      </c>
      <c r="J45" s="18">
        <f t="shared" si="7"/>
        <v>211831.54000000004</v>
      </c>
      <c r="K45" s="18">
        <f t="shared" si="8"/>
        <v>27630.201000000005</v>
      </c>
      <c r="L45" s="18">
        <f t="shared" si="9"/>
        <v>1.0000000074796844E-3</v>
      </c>
      <c r="M45" s="18">
        <f>SUMIF(Detail!$C$4:$C$506,Summary!$B45,Detail!$J$4:$J$506)</f>
        <v>0</v>
      </c>
      <c r="N45" s="18">
        <f>SUMIF(Detail!$C$4:$C$506,Summary!$B45,Detail!$K$4:$K$506)</f>
        <v>3463.9799999999991</v>
      </c>
      <c r="O45" s="18">
        <f>SUMIF(Detail!$C$4:$C$506,Summary!$B45,Detail!$L$4:$L$506)</f>
        <v>0</v>
      </c>
      <c r="P45" s="18">
        <f>SUMIF(Detail!$C$4:$C$274, Summary!$B45, Detail!$M$4:$M$274)</f>
        <v>0</v>
      </c>
      <c r="Q45" s="26">
        <f>SUMIF(Detail!$C$4:$C$274, Summary!$B45, Detail!$N$4:$N$274)</f>
        <v>0</v>
      </c>
      <c r="R45" s="80">
        <f t="shared" si="10"/>
        <v>-3.1832314562052488E-12</v>
      </c>
      <c r="S45" s="80"/>
    </row>
    <row r="46" spans="1:19" s="6" customFormat="1" ht="14.25" customHeight="1" x14ac:dyDescent="0.25">
      <c r="A46" s="37" t="s">
        <v>88</v>
      </c>
      <c r="B46" s="13" t="s">
        <v>96</v>
      </c>
      <c r="C46" s="4">
        <v>67969</v>
      </c>
      <c r="D46" s="18">
        <f>SUMIF(Detail!$C$4:$C$506,Summary!$B46,Detail!$F$4:$F$506)</f>
        <v>65428.160000000003</v>
      </c>
      <c r="E46" s="18">
        <f>SUMIF(Detail!$C$4:$C$506,Summary!$B46,Detail!$G$4:$G$506)</f>
        <v>2039.07</v>
      </c>
      <c r="F46" s="42">
        <f t="shared" si="5"/>
        <v>0.99261766393502937</v>
      </c>
      <c r="G46" s="76">
        <f t="shared" si="6"/>
        <v>501.76999999998952</v>
      </c>
      <c r="H46" s="18">
        <f>SUMIF(Detail!$C$4:$C$506,Summary!$B46,Detail!$H$4:$H$506)</f>
        <v>65428.160000000003</v>
      </c>
      <c r="I46" s="18">
        <f>SUMIF(Detail!$C$4:$C$506,Summary!$B46,Detail!$I$4:$I$506)</f>
        <v>2039.07</v>
      </c>
      <c r="J46" s="18">
        <f t="shared" si="7"/>
        <v>67467.23000000001</v>
      </c>
      <c r="K46" s="18">
        <f t="shared" si="8"/>
        <v>9814.2240000000002</v>
      </c>
      <c r="L46" s="18">
        <f t="shared" si="9"/>
        <v>7775.1540000000005</v>
      </c>
      <c r="M46" s="18">
        <f>SUMIF(Detail!$C$4:$C$506,Summary!$B46,Detail!$J$4:$J$506)</f>
        <v>0</v>
      </c>
      <c r="N46" s="18">
        <f>SUMIF(Detail!$C$4:$C$506,Summary!$B46,Detail!$K$4:$K$506)</f>
        <v>0</v>
      </c>
      <c r="O46" s="18">
        <f>SUMIF(Detail!$C$4:$C$506,Summary!$B46,Detail!$L$4:$L$506)</f>
        <v>0</v>
      </c>
      <c r="P46" s="18">
        <f>SUMIF(Detail!$C$4:$C$274, Summary!$B46, Detail!$M$4:$M$274)</f>
        <v>0</v>
      </c>
      <c r="Q46" s="26">
        <f>SUMIF(Detail!$C$4:$C$274, Summary!$B46, Detail!$N$4:$N$274)</f>
        <v>0</v>
      </c>
      <c r="R46" s="80">
        <f t="shared" si="10"/>
        <v>7.0485839387401938E-12</v>
      </c>
      <c r="S46" s="80"/>
    </row>
    <row r="47" spans="1:19" s="6" customFormat="1" x14ac:dyDescent="0.25">
      <c r="A47" s="37" t="s">
        <v>80</v>
      </c>
      <c r="B47" s="13" t="s">
        <v>81</v>
      </c>
      <c r="C47" s="4">
        <f>189210+814.2</f>
        <v>190024.2</v>
      </c>
      <c r="D47" s="18">
        <f>SUMIF(Detail!$C$4:$C$506,Summary!$B47,Detail!$F$4:$F$506)</f>
        <v>168483.48</v>
      </c>
      <c r="E47" s="18">
        <f>SUMIF(Detail!$C$4:$C$506,Summary!$B47,Detail!$G$4:$G$506)</f>
        <v>21540.720000000001</v>
      </c>
      <c r="F47" s="42">
        <f t="shared" si="5"/>
        <v>1</v>
      </c>
      <c r="G47" s="76">
        <f t="shared" si="6"/>
        <v>0</v>
      </c>
      <c r="H47" s="18">
        <f>SUMIF(Detail!$C$4:$C$506,Summary!$B47,Detail!$H$4:$H$506)</f>
        <v>168483.48</v>
      </c>
      <c r="I47" s="18">
        <f>SUMIF(Detail!$C$4:$C$506,Summary!$B47,Detail!$I$4:$I$506)</f>
        <v>21540.720000000001</v>
      </c>
      <c r="J47" s="18">
        <f t="shared" si="7"/>
        <v>190024.2</v>
      </c>
      <c r="K47" s="18">
        <f t="shared" si="8"/>
        <v>25272.522000000001</v>
      </c>
      <c r="L47" s="18">
        <f t="shared" si="9"/>
        <v>3731.8019999999997</v>
      </c>
      <c r="M47" s="18">
        <f>SUMIF(Detail!$C$4:$C$506,Summary!$B47,Detail!$J$4:$J$506)</f>
        <v>0</v>
      </c>
      <c r="N47" s="18">
        <f>SUMIF(Detail!$C$4:$C$506,Summary!$B47,Detail!$K$4:$K$506)</f>
        <v>0</v>
      </c>
      <c r="O47" s="18">
        <f>SUMIF(Detail!$C$4:$C$506,Summary!$B47,Detail!$L$4:$L$506)</f>
        <v>0</v>
      </c>
      <c r="P47" s="18">
        <f>SUMIF(Detail!$C$4:$C$274, Summary!$B47, Detail!$M$4:$M$274)</f>
        <v>0</v>
      </c>
      <c r="Q47" s="26">
        <f>SUMIF(Detail!$C$4:$C$274, Summary!$B47, Detail!$N$4:$N$274)</f>
        <v>0</v>
      </c>
      <c r="R47" s="80">
        <f t="shared" si="10"/>
        <v>0</v>
      </c>
      <c r="S47" s="80"/>
    </row>
    <row r="48" spans="1:19" x14ac:dyDescent="0.25">
      <c r="A48" s="38" t="s">
        <v>6</v>
      </c>
      <c r="B48" s="13" t="s">
        <v>11</v>
      </c>
      <c r="C48" s="4">
        <f>SUM(611890-49000-49000)</f>
        <v>513890</v>
      </c>
      <c r="D48" s="18">
        <f>SUMIF(Detail!$C$4:$C$506,Summary!$B48,Detail!$F$4:$F$506)</f>
        <v>446766.02</v>
      </c>
      <c r="E48" s="18">
        <f>SUMIF(Detail!$C$4:$C$506,Summary!$B48,Detail!$G$4:$G$506)</f>
        <v>80365.22</v>
      </c>
      <c r="F48" s="42">
        <f t="shared" si="5"/>
        <v>1.0257666815855533</v>
      </c>
      <c r="G48" s="76">
        <f t="shared" si="6"/>
        <v>109.07999999995809</v>
      </c>
      <c r="H48" s="18">
        <f>SUMIF(Detail!$C$4:$C$506,Summary!$B48,Detail!$H$4:$H$506)</f>
        <v>446766.02</v>
      </c>
      <c r="I48" s="18">
        <f>SUMIF(Detail!$C$4:$C$506,Summary!$B48,Detail!$I$4:$I$506)</f>
        <v>67014.899999999994</v>
      </c>
      <c r="J48" s="18">
        <f t="shared" si="7"/>
        <v>513780.92000000004</v>
      </c>
      <c r="K48" s="18">
        <f t="shared" si="8"/>
        <v>67014.903000000006</v>
      </c>
      <c r="L48" s="18">
        <f t="shared" si="9"/>
        <v>3.0000000115251169E-3</v>
      </c>
      <c r="M48" s="18">
        <f>SUMIF(Detail!$C$4:$C$506,Summary!$B48,Detail!$J$4:$J$506)</f>
        <v>0</v>
      </c>
      <c r="N48" s="18">
        <f>SUMIF(Detail!$C$4:$C$506,Summary!$B48,Detail!$K$4:$K$506)</f>
        <v>13350.320000000002</v>
      </c>
      <c r="O48" s="18">
        <f>SUMIF(Detail!$C$4:$C$506,Summary!$B48,Detail!$L$4:$L$506)</f>
        <v>0</v>
      </c>
      <c r="P48" s="18">
        <f>SUMIF(Detail!$C$4:$C$274, Summary!$B48, Detail!$M$4:$M$274)</f>
        <v>0</v>
      </c>
      <c r="Q48" s="26">
        <f>SUMIF(Detail!$C$4:$C$274, Summary!$B48, Detail!$N$4:$N$274)</f>
        <v>0</v>
      </c>
      <c r="R48" s="80">
        <f t="shared" si="10"/>
        <v>-2.3646862246096134E-11</v>
      </c>
      <c r="S48" s="80"/>
    </row>
    <row r="49" spans="1:19" x14ac:dyDescent="0.25">
      <c r="A49" s="38" t="s">
        <v>89</v>
      </c>
      <c r="B49" s="13" t="s">
        <v>97</v>
      </c>
      <c r="C49" s="4">
        <f>111566-25000</f>
        <v>86566</v>
      </c>
      <c r="D49" s="18">
        <f>SUMIF(Detail!$C$4:$C$506,Summary!$B49,Detail!$F$4:$F$506)</f>
        <v>67166.399999999994</v>
      </c>
      <c r="E49" s="18">
        <f>SUMIF(Detail!$C$4:$C$506,Summary!$B49,Detail!$G$4:$G$506)</f>
        <v>137.34</v>
      </c>
      <c r="F49" s="42">
        <f t="shared" si="5"/>
        <v>0.77748469375967455</v>
      </c>
      <c r="G49" s="76">
        <f t="shared" si="6"/>
        <v>19284.760000000009</v>
      </c>
      <c r="H49" s="18">
        <f>SUMIF(Detail!$C$4:$C$506,Summary!$B49,Detail!$H$4:$H$506)</f>
        <v>67143.899999999994</v>
      </c>
      <c r="I49" s="18">
        <f>SUMIF(Detail!$C$4:$C$506,Summary!$B49,Detail!$I$4:$I$506)</f>
        <v>137.34</v>
      </c>
      <c r="J49" s="18">
        <f t="shared" si="7"/>
        <v>67281.239999999991</v>
      </c>
      <c r="K49" s="18">
        <f t="shared" si="8"/>
        <v>10071.584999999999</v>
      </c>
      <c r="L49" s="18">
        <f t="shared" si="9"/>
        <v>9934.244999999999</v>
      </c>
      <c r="M49" s="18">
        <f>SUMIF(Detail!$C$4:$C$506,Summary!$B49,Detail!$J$4:$J$506)</f>
        <v>0</v>
      </c>
      <c r="N49" s="18">
        <f>SUMIF(Detail!$C$4:$C$506,Summary!$B49,Detail!$K$4:$K$506)</f>
        <v>0</v>
      </c>
      <c r="O49" s="18">
        <f>SUMIF(Detail!$C$4:$C$506,Summary!$B49,Detail!$L$4:$L$506)</f>
        <v>0</v>
      </c>
      <c r="P49" s="18">
        <f>SUMIF(Detail!$C$4:$C$274, Summary!$B49, Detail!$M$4:$M$274)</f>
        <v>0</v>
      </c>
      <c r="Q49" s="26">
        <f>SUMIF(Detail!$C$4:$C$274, Summary!$B49, Detail!$N$4:$N$274)</f>
        <v>22.5</v>
      </c>
      <c r="R49" s="80">
        <f t="shared" si="10"/>
        <v>-3.4958702599396929E-12</v>
      </c>
      <c r="S49" s="80"/>
    </row>
    <row r="50" spans="1:19" x14ac:dyDescent="0.25">
      <c r="A50" s="38" t="s">
        <v>43</v>
      </c>
      <c r="B50" s="13" t="s">
        <v>44</v>
      </c>
      <c r="C50" s="4">
        <f>226504-34600</f>
        <v>191904</v>
      </c>
      <c r="D50" s="18">
        <f>SUMIF(Detail!$C$4:$C$506,Summary!$B50,Detail!$F$4:$F$506)</f>
        <v>187704.57999999996</v>
      </c>
      <c r="E50" s="18">
        <f>SUMIF(Detail!$C$4:$C$506,Summary!$B50,Detail!$G$4:$G$506)</f>
        <v>0</v>
      </c>
      <c r="F50" s="42">
        <f t="shared" si="5"/>
        <v>0.97811707937301962</v>
      </c>
      <c r="G50" s="76">
        <f t="shared" si="6"/>
        <v>4199.4200000000419</v>
      </c>
      <c r="H50" s="18">
        <f>SUMIF(Detail!$C$4:$C$506,Summary!$B50,Detail!$H$4:$H$506)</f>
        <v>187704.57999999996</v>
      </c>
      <c r="I50" s="18">
        <f>SUMIF(Detail!$C$4:$C$506,Summary!$B50,Detail!$I$4:$I$506)</f>
        <v>0</v>
      </c>
      <c r="J50" s="18">
        <f t="shared" si="7"/>
        <v>187704.57999999996</v>
      </c>
      <c r="K50" s="18">
        <f t="shared" si="8"/>
        <v>28155.686999999994</v>
      </c>
      <c r="L50" s="18">
        <f t="shared" si="9"/>
        <v>28155.686999999994</v>
      </c>
      <c r="M50" s="18">
        <f>SUMIF(Detail!$C$4:$C$506,Summary!$B50,Detail!$J$4:$J$506)</f>
        <v>0</v>
      </c>
      <c r="N50" s="18">
        <f>SUMIF(Detail!$C$4:$C$506,Summary!$B50,Detail!$K$4:$K$506)</f>
        <v>0</v>
      </c>
      <c r="O50" s="18">
        <f>SUMIF(Detail!$C$4:$C$506,Summary!$B50,Detail!$L$4:$L$506)</f>
        <v>0</v>
      </c>
      <c r="P50" s="18">
        <f>SUMIF(Detail!$C$4:$C$274, Summary!$B50, Detail!$M$4:$M$274)</f>
        <v>0</v>
      </c>
      <c r="Q50" s="26">
        <f>SUMIF(Detail!$C$4:$C$274, Summary!$B50, Detail!$N$4:$N$274)</f>
        <v>0</v>
      </c>
      <c r="R50" s="80">
        <f t="shared" si="10"/>
        <v>0</v>
      </c>
      <c r="S50" s="80"/>
    </row>
    <row r="51" spans="1:19" s="6" customFormat="1" x14ac:dyDescent="0.25">
      <c r="A51" s="37" t="s">
        <v>6</v>
      </c>
      <c r="B51" s="13" t="s">
        <v>34</v>
      </c>
      <c r="C51" s="4">
        <f>SUM(52294-10000-15000-6100)</f>
        <v>21194</v>
      </c>
      <c r="D51" s="18">
        <f>SUMIF(Detail!$C$4:$C$506,Summary!$B51,Detail!$F$4:$F$506)</f>
        <v>18361.07</v>
      </c>
      <c r="E51" s="18">
        <f>SUMIF(Detail!$C$4:$C$506,Summary!$B51,Detail!$G$4:$G$506)</f>
        <v>6914.66</v>
      </c>
      <c r="F51" s="42">
        <f t="shared" si="5"/>
        <v>1.192588940266113</v>
      </c>
      <c r="G51" s="76">
        <f t="shared" si="6"/>
        <v>78.770000000000437</v>
      </c>
      <c r="H51" s="18">
        <f>SUMIF(Detail!$C$4:$C$506,Summary!$B51,Detail!$H$4:$H$506)</f>
        <v>18361.07</v>
      </c>
      <c r="I51" s="18">
        <f>SUMIF(Detail!$C$4:$C$506,Summary!$B51,Detail!$I$4:$I$506)</f>
        <v>2754.16</v>
      </c>
      <c r="J51" s="18">
        <f t="shared" si="7"/>
        <v>21115.23</v>
      </c>
      <c r="K51" s="18">
        <f t="shared" si="8"/>
        <v>2754.1605</v>
      </c>
      <c r="L51" s="18">
        <f t="shared" si="9"/>
        <v>5.0000000010186341E-4</v>
      </c>
      <c r="M51" s="18">
        <f>SUMIF(Detail!$C$4:$C$506,Summary!$B51,Detail!$J$4:$J$506)</f>
        <v>0</v>
      </c>
      <c r="N51" s="18">
        <f>SUMIF(Detail!$C$4:$C$506,Summary!$B51,Detail!$K$4:$K$506)</f>
        <v>4160.5</v>
      </c>
      <c r="O51" s="18">
        <f>SUMIF(Detail!$C$4:$C$506,Summary!$B51,Detail!$L$4:$L$506)</f>
        <v>0</v>
      </c>
      <c r="P51" s="18">
        <f>SUMIF(Detail!$C$4:$C$274, Summary!$B51, Detail!$M$4:$M$274)</f>
        <v>0</v>
      </c>
      <c r="Q51" s="26">
        <f>SUMIF(Detail!$C$4:$C$274, Summary!$B51, Detail!$N$4:$N$274)</f>
        <v>0</v>
      </c>
      <c r="R51" s="80">
        <f t="shared" si="10"/>
        <v>0</v>
      </c>
      <c r="S51" s="80"/>
    </row>
    <row r="52" spans="1:19" x14ac:dyDescent="0.25">
      <c r="A52" s="38" t="s">
        <v>26</v>
      </c>
      <c r="B52" s="13" t="s">
        <v>27</v>
      </c>
      <c r="C52" s="4">
        <f>63498-63498</f>
        <v>0</v>
      </c>
      <c r="D52" s="18">
        <f>SUMIF(Detail!$C$4:$C$506,Summary!$B52,Detail!$F$4:$F$506)</f>
        <v>0</v>
      </c>
      <c r="E52" s="18">
        <f>SUMIF(Detail!$C$4:$C$506,Summary!$B52,Detail!$G$4:$G$506)</f>
        <v>0</v>
      </c>
      <c r="F52" s="42"/>
      <c r="G52" s="76">
        <f t="shared" si="6"/>
        <v>0</v>
      </c>
      <c r="H52" s="18">
        <f>SUMIF(Detail!$C$4:$C$506,Summary!$B52,Detail!$H$4:$H$506)</f>
        <v>0</v>
      </c>
      <c r="I52" s="18">
        <f>SUMIF(Detail!$C$4:$C$506,Summary!$B52,Detail!$I$4:$I$506)</f>
        <v>0</v>
      </c>
      <c r="J52" s="18">
        <f t="shared" si="7"/>
        <v>0</v>
      </c>
      <c r="K52" s="18">
        <f t="shared" si="8"/>
        <v>0</v>
      </c>
      <c r="L52" s="18">
        <f t="shared" si="9"/>
        <v>0</v>
      </c>
      <c r="M52" s="18">
        <f>SUMIF(Detail!$C$4:$C$506,Summary!$B52,Detail!$J$4:$J$506)</f>
        <v>0</v>
      </c>
      <c r="N52" s="18">
        <f>SUMIF(Detail!$C$4:$C$506,Summary!$B52,Detail!$K$4:$K$506)</f>
        <v>0</v>
      </c>
      <c r="O52" s="18">
        <f>SUMIF(Detail!$C$4:$C$506,Summary!$B52,Detail!$L$4:$L$506)</f>
        <v>0</v>
      </c>
      <c r="P52" s="18">
        <f>SUMIF(Detail!$C$4:$C$274, Summary!$B52, Detail!$M$4:$M$274)</f>
        <v>0</v>
      </c>
      <c r="Q52" s="26">
        <f>SUMIF(Detail!$C$4:$C$274, Summary!$B52, Detail!$N$4:$N$274)</f>
        <v>0</v>
      </c>
      <c r="R52" s="80">
        <f t="shared" si="10"/>
        <v>0</v>
      </c>
      <c r="S52" s="80"/>
    </row>
    <row r="53" spans="1:19" x14ac:dyDescent="0.25">
      <c r="A53" s="38" t="s">
        <v>45</v>
      </c>
      <c r="B53" s="13" t="s">
        <v>46</v>
      </c>
      <c r="C53" s="4">
        <f>198714+42045</f>
        <v>240759</v>
      </c>
      <c r="D53" s="18">
        <f>SUMIF(Detail!$C$4:$C$506,Summary!$B53,Detail!$F$4:$F$506)</f>
        <v>242367.25</v>
      </c>
      <c r="E53" s="18">
        <f>SUMIF(Detail!$C$4:$C$506,Summary!$B53,Detail!$G$4:$G$506)</f>
        <v>43676.310000000005</v>
      </c>
      <c r="F53" s="42">
        <f t="shared" si="5"/>
        <v>1.1880908294186303</v>
      </c>
      <c r="G53" s="76">
        <f t="shared" si="6"/>
        <v>2840.2699999999895</v>
      </c>
      <c r="H53" s="18">
        <f>SUMIF(Detail!$C$4:$C$506,Summary!$B53,Detail!$H$4:$H$506)</f>
        <v>213493.86000000002</v>
      </c>
      <c r="I53" s="18">
        <f>SUMIF(Detail!$C$4:$C$506,Summary!$B53,Detail!$I$4:$I$506)</f>
        <v>24424.870000000003</v>
      </c>
      <c r="J53" s="18">
        <f t="shared" si="7"/>
        <v>237918.73</v>
      </c>
      <c r="K53" s="18">
        <f t="shared" si="8"/>
        <v>32024.079000000002</v>
      </c>
      <c r="L53" s="18">
        <f t="shared" si="9"/>
        <v>7599.2089999999989</v>
      </c>
      <c r="M53" s="18">
        <f>SUMIF(Detail!$C$4:$C$506,Summary!$B53,Detail!$J$4:$J$506)</f>
        <v>0</v>
      </c>
      <c r="N53" s="18">
        <f>SUMIF(Detail!$C$4:$C$506,Summary!$B53,Detail!$K$4:$K$506)</f>
        <v>0</v>
      </c>
      <c r="O53" s="18">
        <f>SUMIF(Detail!$C$4:$C$506,Summary!$B53,Detail!$L$4:$L$506)</f>
        <v>0</v>
      </c>
      <c r="P53" s="18">
        <f>SUMIF(Detail!$C$4:$C$274, Summary!$B53, Detail!$M$4:$M$274)</f>
        <v>0</v>
      </c>
      <c r="Q53" s="26">
        <f>SUMIF(Detail!$C$4:$C$274, Summary!$B53, Detail!$N$4:$N$274)</f>
        <v>0</v>
      </c>
      <c r="R53" s="80">
        <f t="shared" si="10"/>
        <v>48124.82999999998</v>
      </c>
      <c r="S53" s="80"/>
    </row>
    <row r="54" spans="1:19" x14ac:dyDescent="0.25">
      <c r="A54" s="38" t="s">
        <v>90</v>
      </c>
      <c r="B54" s="13" t="s">
        <v>98</v>
      </c>
      <c r="C54" s="4">
        <f>173473+70000</f>
        <v>243473</v>
      </c>
      <c r="D54" s="18">
        <f>SUMIF(Detail!$C$4:$C$506,Summary!$B54,Detail!$F$4:$F$506)</f>
        <v>192352.76</v>
      </c>
      <c r="E54" s="18">
        <f>SUMIF(Detail!$C$4:$C$506,Summary!$B54,Detail!$G$4:$G$506)</f>
        <v>29692</v>
      </c>
      <c r="F54" s="42">
        <f t="shared" si="5"/>
        <v>0.91198925548212739</v>
      </c>
      <c r="G54" s="76">
        <f t="shared" si="6"/>
        <v>22267.329999999987</v>
      </c>
      <c r="H54" s="18">
        <f>SUMIF(Detail!$C$4:$C$506,Summary!$B54,Detail!$H$4:$H$506)</f>
        <v>192352.76</v>
      </c>
      <c r="I54" s="18">
        <f>SUMIF(Detail!$C$4:$C$506,Summary!$B54,Detail!$I$4:$I$506)</f>
        <v>28852.910000000003</v>
      </c>
      <c r="J54" s="18">
        <f t="shared" si="7"/>
        <v>221205.67</v>
      </c>
      <c r="K54" s="18">
        <f t="shared" si="8"/>
        <v>28852.914000000001</v>
      </c>
      <c r="L54" s="18">
        <f t="shared" si="9"/>
        <v>3.9999999971769284E-3</v>
      </c>
      <c r="M54" s="18">
        <f>SUMIF(Detail!$C$4:$C$506,Summary!$B54,Detail!$J$4:$J$506)</f>
        <v>0</v>
      </c>
      <c r="N54" s="18">
        <f>SUMIF(Detail!$C$4:$C$506,Summary!$B54,Detail!$K$4:$K$506)</f>
        <v>839.09000000000015</v>
      </c>
      <c r="O54" s="18">
        <f>SUMIF(Detail!$C$4:$C$506,Summary!$B54,Detail!$L$4:$L$506)</f>
        <v>0</v>
      </c>
      <c r="P54" s="18">
        <f>SUMIF(Detail!$C$4:$C$274, Summary!$B54, Detail!$M$4:$M$274)</f>
        <v>0</v>
      </c>
      <c r="Q54" s="26">
        <f>SUMIF(Detail!$C$4:$C$274, Summary!$B54, Detail!$N$4:$N$274)</f>
        <v>0</v>
      </c>
      <c r="R54" s="80">
        <f t="shared" si="10"/>
        <v>-3.637978807091713E-12</v>
      </c>
      <c r="S54" s="80"/>
    </row>
    <row r="55" spans="1:19" x14ac:dyDescent="0.25">
      <c r="A55" s="38" t="s">
        <v>6</v>
      </c>
      <c r="B55" s="13" t="s">
        <v>32</v>
      </c>
      <c r="C55" s="4">
        <f>SUM(90007+20000+5000)</f>
        <v>115007</v>
      </c>
      <c r="D55" s="18">
        <f>SUMIF(Detail!$C$4:$C$506,Summary!$B55,Detail!$F$4:$F$506)</f>
        <v>99763.95</v>
      </c>
      <c r="E55" s="18">
        <f>SUMIF(Detail!$C$4:$C$506,Summary!$B55,Detail!$G$4:$G$506)</f>
        <v>18196.25</v>
      </c>
      <c r="F55" s="42">
        <f t="shared" si="5"/>
        <v>1.0256784369647065</v>
      </c>
      <c r="G55" s="67">
        <f t="shared" si="6"/>
        <v>278.4600000000064</v>
      </c>
      <c r="H55" s="18">
        <f>SUMIF(Detail!$C$4:$C$506,Summary!$B55,Detail!$H$4:$H$506)</f>
        <v>99763.95</v>
      </c>
      <c r="I55" s="18">
        <f>SUMIF(Detail!$C$4:$C$506,Summary!$B55,Detail!$I$4:$I$506)</f>
        <v>14964.590000000002</v>
      </c>
      <c r="J55" s="18">
        <f t="shared" si="7"/>
        <v>114728.54</v>
      </c>
      <c r="K55" s="18">
        <f t="shared" si="8"/>
        <v>14964.592499999999</v>
      </c>
      <c r="L55" s="18">
        <f t="shared" si="9"/>
        <v>2.4999999968713382E-3</v>
      </c>
      <c r="M55" s="18">
        <f>SUMIF(Detail!$C$4:$C$506,Summary!$B55,Detail!$J$4:$J$506)</f>
        <v>0</v>
      </c>
      <c r="N55" s="18">
        <f>SUMIF(Detail!$C$4:$C$506,Summary!$B55,Detail!$K$4:$K$506)</f>
        <v>3231.6599999999989</v>
      </c>
      <c r="O55" s="18">
        <f>SUMIF(Detail!$C$4:$C$506,Summary!$B55,Detail!$L$4:$L$506)</f>
        <v>0</v>
      </c>
      <c r="P55" s="18">
        <f>SUMIF(Detail!$C$4:$C$274, Summary!$B55, Detail!$M$4:$M$274)</f>
        <v>0</v>
      </c>
      <c r="Q55" s="26">
        <f>SUMIF(Detail!$C$4:$C$274, Summary!$B55, Detail!$N$4:$N$274)</f>
        <v>0</v>
      </c>
      <c r="R55" s="80">
        <f t="shared" si="10"/>
        <v>-9.0949470177292824E-13</v>
      </c>
      <c r="S55" s="80"/>
    </row>
    <row r="56" spans="1:19" ht="15.75" thickBot="1" x14ac:dyDescent="0.3">
      <c r="A56" s="43" t="s">
        <v>91</v>
      </c>
      <c r="B56" s="44" t="s">
        <v>99</v>
      </c>
      <c r="C56" s="45">
        <f>62429-31200-10000</f>
        <v>21229</v>
      </c>
      <c r="D56" s="18">
        <f>SUMIF(Detail!$C$4:$C$506,Summary!$B56,Detail!$F$4:$F$506)</f>
        <v>1875.4</v>
      </c>
      <c r="E56" s="18">
        <f>SUMIF(Detail!$C$4:$C$506,Summary!$B56,Detail!$G$4:$G$506)</f>
        <v>187.54</v>
      </c>
      <c r="F56" s="42">
        <f t="shared" si="5"/>
        <v>9.7175561731593571E-2</v>
      </c>
      <c r="G56" s="67">
        <f t="shared" si="6"/>
        <v>19166.060000000001</v>
      </c>
      <c r="H56" s="18">
        <f>SUMIF(Detail!$C$4:$C$506,Summary!$B56,Detail!$H$4:$H$506)</f>
        <v>1875.4</v>
      </c>
      <c r="I56" s="18">
        <f>SUMIF(Detail!$C$4:$C$506,Summary!$B56,Detail!$I$4:$I$506)</f>
        <v>187.54</v>
      </c>
      <c r="J56" s="18">
        <f t="shared" si="7"/>
        <v>2062.94</v>
      </c>
      <c r="K56" s="18">
        <f t="shared" si="8"/>
        <v>281.31</v>
      </c>
      <c r="L56" s="18">
        <f t="shared" si="9"/>
        <v>93.77000000000001</v>
      </c>
      <c r="M56" s="18">
        <f>SUMIF(Detail!$C$4:$C$506,Summary!$B56,Detail!$J$4:$J$506)</f>
        <v>0</v>
      </c>
      <c r="N56" s="18">
        <f>SUMIF(Detail!$C$4:$C$506,Summary!$B56,Detail!$K$4:$K$506)</f>
        <v>0</v>
      </c>
      <c r="O56" s="18">
        <f>SUMIF(Detail!$C$4:$C$506,Summary!$B56,Detail!$L$4:$L$506)</f>
        <v>0</v>
      </c>
      <c r="P56" s="18">
        <f>SUMIF(Detail!$C$4:$C$274, Summary!$B56, Detail!$M$4:$M$274)</f>
        <v>0</v>
      </c>
      <c r="Q56" s="26">
        <f>SUMIF(Detail!$C$4:$C$274, Summary!$B56, Detail!$N$4:$N$274)</f>
        <v>0</v>
      </c>
      <c r="R56" s="80">
        <f t="shared" si="10"/>
        <v>-2.8421709430404007E-14</v>
      </c>
      <c r="S56" s="80"/>
    </row>
    <row r="57" spans="1:19" ht="16.5" thickTop="1" thickBot="1" x14ac:dyDescent="0.3">
      <c r="A57" s="89" t="s">
        <v>108</v>
      </c>
      <c r="B57" s="90"/>
      <c r="C57" s="46">
        <f>SUM($C4:$C56)</f>
        <v>9462015.1799999997</v>
      </c>
      <c r="D57" s="46">
        <f>SUM($D4:$D56)</f>
        <v>7934696.9100000029</v>
      </c>
      <c r="E57" s="46">
        <f>SUM($E4:$E56)</f>
        <v>1223395.67</v>
      </c>
      <c r="F57" s="47">
        <f>(SUM($D57:$E57)/$C57)</f>
        <v>0.96787971756350555</v>
      </c>
      <c r="G57" s="47"/>
      <c r="H57" s="46">
        <f>SUM($H4:$H56)</f>
        <v>7847863.7100000028</v>
      </c>
      <c r="I57" s="46">
        <f>SUM($I4:$I56)</f>
        <v>980025.86</v>
      </c>
      <c r="J57" s="46">
        <f t="shared" si="7"/>
        <v>8827889.5700000022</v>
      </c>
      <c r="K57" s="46"/>
      <c r="L57" s="46"/>
      <c r="M57" s="46">
        <f>SUM(M4:M56)</f>
        <v>0</v>
      </c>
      <c r="N57" s="46">
        <f>SUM(N4:N56)</f>
        <v>215023.55</v>
      </c>
      <c r="O57" s="46">
        <f>SUM($O4:$O56)</f>
        <v>0</v>
      </c>
      <c r="P57" s="46">
        <f>SUM($P4:$P56)</f>
        <v>0</v>
      </c>
      <c r="Q57" s="48">
        <f>SUM($Q4:$Q56)</f>
        <v>52489.3</v>
      </c>
      <c r="S57" s="80"/>
    </row>
    <row r="58" spans="1:19" ht="15.75" thickBot="1" x14ac:dyDescent="0.3">
      <c r="A58" s="49" t="s">
        <v>6</v>
      </c>
      <c r="B58" s="50" t="s">
        <v>107</v>
      </c>
      <c r="C58" s="51">
        <v>500000</v>
      </c>
      <c r="D58" s="18">
        <f>SUMIF(Detail!$C$4:$C$506,Summary!$B58,Detail!$F$4:$F$506)</f>
        <v>500000</v>
      </c>
      <c r="E58" s="18">
        <f>SUMIF(Detail!$C$4:$C$506,Summary!$B58,Detail!$G$4:$G$506)</f>
        <v>0</v>
      </c>
      <c r="F58" s="42">
        <f t="shared" si="5"/>
        <v>1</v>
      </c>
      <c r="G58" s="67">
        <f>SUM(C58-J58)</f>
        <v>0</v>
      </c>
      <c r="H58" s="18">
        <f>SUMIF(Detail!$C$4:$C$506,Summary!$B58,Detail!$H$4:$H$506)</f>
        <v>500000</v>
      </c>
      <c r="I58" s="18">
        <f>SUMIF(Detail!$C$4:$C$506,Summary!$B58,Detail!$I$4:$I$506)</f>
        <v>0</v>
      </c>
      <c r="J58" s="18">
        <f t="shared" si="7"/>
        <v>500000</v>
      </c>
      <c r="K58" s="18"/>
      <c r="L58" s="18"/>
      <c r="M58" s="18"/>
      <c r="N58" s="18">
        <f>SUMIF(Detail!$C$4:$C$506,Summary!$B58,Detail!$K$4:$K$506)</f>
        <v>0</v>
      </c>
      <c r="O58" s="18">
        <f>SUMIF(Detail!$C$4:$C$506,Summary!$B58,Detail!$L$4:$L$506)</f>
        <v>0</v>
      </c>
      <c r="P58" s="18">
        <f>SUMIF(Detail!$C$4:$C$274, Summary!$B58, Detail!$M$4:$M$274)</f>
        <v>0</v>
      </c>
      <c r="Q58" s="26">
        <f>SUMIF(Detail!$C$4:$C$274, Summary!$B58, Detail!$N$4:$N$274)</f>
        <v>0</v>
      </c>
      <c r="S58" s="80"/>
    </row>
    <row r="59" spans="1:19" ht="15.75" thickBot="1" x14ac:dyDescent="0.3">
      <c r="A59" s="87" t="s">
        <v>120</v>
      </c>
      <c r="B59" s="88"/>
      <c r="C59" s="33">
        <f>C57+C58</f>
        <v>9962015.1799999997</v>
      </c>
      <c r="D59" s="33">
        <f>SUM($D57:$D58)</f>
        <v>8434696.9100000039</v>
      </c>
      <c r="E59" s="33">
        <f>SUM($E57:$E58)</f>
        <v>1223395.67</v>
      </c>
      <c r="F59" s="39">
        <f>(SUM($D59:$E59)/$C59)</f>
        <v>0.96949185536173854</v>
      </c>
      <c r="G59" s="39"/>
      <c r="H59" s="33">
        <f>SUM($H57:$H58)</f>
        <v>8347863.7100000028</v>
      </c>
      <c r="I59" s="33">
        <f>SUM($I57:$I58)</f>
        <v>980025.86</v>
      </c>
      <c r="J59" s="33">
        <f t="shared" si="7"/>
        <v>9327889.5700000022</v>
      </c>
      <c r="K59" s="33"/>
      <c r="L59" s="33"/>
      <c r="M59" s="33">
        <f>SUM(M57:M58)</f>
        <v>0</v>
      </c>
      <c r="N59" s="33">
        <f>SUM(N57:N58)</f>
        <v>215023.55</v>
      </c>
      <c r="O59" s="33">
        <f>SUM($O57:$O58)</f>
        <v>0</v>
      </c>
      <c r="P59" s="33">
        <f>SUM($P57:$P58)</f>
        <v>0</v>
      </c>
      <c r="Q59" s="34">
        <f>SUM($Q57:$Q58)</f>
        <v>52489.3</v>
      </c>
      <c r="S59" s="80"/>
    </row>
    <row r="60" spans="1:19" ht="3.95" customHeight="1" thickTop="1" x14ac:dyDescent="0.25">
      <c r="A60" s="73"/>
      <c r="B60" s="74"/>
      <c r="C60" s="70"/>
      <c r="D60" s="70"/>
      <c r="E60" s="70"/>
      <c r="F60" s="75"/>
      <c r="G60" s="75"/>
      <c r="H60" s="70"/>
      <c r="I60" s="70"/>
      <c r="J60" s="70"/>
      <c r="K60" s="70"/>
      <c r="L60" s="70"/>
      <c r="M60" s="70"/>
      <c r="N60" s="70"/>
      <c r="O60" s="70"/>
      <c r="P60" s="70"/>
      <c r="Q60" s="72"/>
    </row>
    <row r="61" spans="1:19" ht="3.95" customHeight="1" x14ac:dyDescent="0.25">
      <c r="A61" s="68"/>
      <c r="B61" s="74"/>
      <c r="C61" s="70"/>
      <c r="D61" s="70"/>
      <c r="E61" s="70"/>
      <c r="F61" s="75"/>
      <c r="G61" s="75"/>
      <c r="H61" s="70"/>
      <c r="I61" s="70"/>
      <c r="J61" s="70"/>
      <c r="K61" s="70"/>
      <c r="L61" s="70"/>
      <c r="M61" s="70"/>
      <c r="N61" s="70"/>
      <c r="O61" s="70"/>
      <c r="P61" s="70"/>
      <c r="Q61" s="72"/>
    </row>
    <row r="62" spans="1:19" ht="3.95" customHeight="1" x14ac:dyDescent="0.25">
      <c r="A62" s="68"/>
      <c r="B62" s="74"/>
      <c r="C62" s="70"/>
      <c r="D62" s="70"/>
      <c r="E62" s="70"/>
      <c r="F62" s="75"/>
      <c r="G62" s="75"/>
      <c r="H62" s="70"/>
      <c r="I62" s="70"/>
      <c r="J62" s="70"/>
      <c r="K62" s="70"/>
      <c r="L62" s="70"/>
      <c r="M62" s="70"/>
      <c r="N62" s="70"/>
      <c r="O62" s="70"/>
      <c r="P62" s="70"/>
      <c r="Q62" s="72"/>
    </row>
    <row r="63" spans="1:19" ht="3.95" customHeight="1" x14ac:dyDescent="0.25">
      <c r="A63" s="68"/>
      <c r="B63" s="74"/>
      <c r="C63" s="70"/>
      <c r="D63" s="70"/>
      <c r="E63" s="70"/>
      <c r="F63" s="75"/>
      <c r="G63" s="75"/>
      <c r="H63" s="70"/>
      <c r="I63" s="70"/>
      <c r="J63" s="70"/>
      <c r="K63" s="70"/>
      <c r="L63" s="70"/>
      <c r="M63" s="70"/>
      <c r="N63" s="70"/>
      <c r="O63" s="70"/>
      <c r="P63" s="70"/>
      <c r="Q63" s="72"/>
    </row>
    <row r="64" spans="1:19" ht="3.95" customHeight="1" x14ac:dyDescent="0.25">
      <c r="A64" s="68"/>
      <c r="B64" s="74"/>
      <c r="C64" s="70"/>
      <c r="D64" s="70"/>
      <c r="E64" s="70"/>
      <c r="F64" s="75"/>
      <c r="G64" s="75"/>
      <c r="H64" s="70"/>
      <c r="I64" s="70"/>
      <c r="J64" s="70"/>
      <c r="K64" s="70"/>
      <c r="L64" s="70"/>
      <c r="M64" s="70"/>
      <c r="N64" s="70"/>
      <c r="O64" s="70"/>
      <c r="P64" s="70"/>
      <c r="Q64" s="72"/>
    </row>
  </sheetData>
  <mergeCells count="14">
    <mergeCell ref="A1:Q1"/>
    <mergeCell ref="P2:P3"/>
    <mergeCell ref="A59:B59"/>
    <mergeCell ref="A57:B57"/>
    <mergeCell ref="Q2:Q3"/>
    <mergeCell ref="D2:E2"/>
    <mergeCell ref="B2:B3"/>
    <mergeCell ref="C2:C3"/>
    <mergeCell ref="A2:A3"/>
    <mergeCell ref="F2:F3"/>
    <mergeCell ref="H2:J2"/>
    <mergeCell ref="G2:G3"/>
    <mergeCell ref="N2:O2"/>
    <mergeCell ref="K2:L2"/>
  </mergeCells>
  <printOptions gridLines="1"/>
  <pageMargins left="0.7" right="0.7" top="0.75" bottom="0.75" header="0.3" footer="0.3"/>
  <pageSetup scale="4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2"/>
  <sheetViews>
    <sheetView zoomScaleNormal="100" workbookViewId="0">
      <pane ySplit="3" topLeftCell="A4" activePane="bottomLeft" state="frozen"/>
      <selection activeCell="B1" sqref="B1"/>
      <selection pane="bottomLeft" activeCell="A2" sqref="A2"/>
    </sheetView>
  </sheetViews>
  <sheetFormatPr defaultRowHeight="15" x14ac:dyDescent="0.25"/>
  <cols>
    <col min="1" max="1" width="9.140625" style="24" customWidth="1"/>
    <col min="2" max="2" width="77.42578125" style="6" customWidth="1"/>
    <col min="3" max="3" width="5.5703125" style="24" customWidth="1"/>
    <col min="4" max="4" width="16.28515625" style="7" bestFit="1" customWidth="1"/>
    <col min="5" max="5" width="13.85546875" style="10" bestFit="1" customWidth="1"/>
    <col min="6" max="6" width="19.7109375" style="7" bestFit="1" customWidth="1"/>
    <col min="7" max="7" width="14.42578125" style="7" customWidth="1"/>
    <col min="8" max="8" width="18.7109375" style="7" bestFit="1" customWidth="1"/>
    <col min="9" max="9" width="13.5703125" style="7" customWidth="1"/>
    <col min="10" max="10" width="18.5703125" style="7" bestFit="1" customWidth="1"/>
    <col min="11" max="11" width="17.85546875" style="7" customWidth="1"/>
    <col min="12" max="12" width="14.5703125" style="7" customWidth="1"/>
    <col min="13" max="13" width="14.28515625" style="7" bestFit="1" customWidth="1"/>
    <col min="14" max="14" width="12.5703125" style="8" bestFit="1" customWidth="1"/>
    <col min="15" max="15" width="13.42578125" style="6" bestFit="1" customWidth="1"/>
    <col min="16" max="16384" width="9.140625" style="6"/>
  </cols>
  <sheetData>
    <row r="1" spans="1:15" ht="15.75" thickTop="1" x14ac:dyDescent="0.25">
      <c r="A1" s="108" t="s">
        <v>156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5" ht="15" customHeight="1" x14ac:dyDescent="0.25">
      <c r="A2" s="65"/>
      <c r="B2" s="57"/>
      <c r="C2" s="59"/>
      <c r="D2" s="61"/>
      <c r="E2" s="63"/>
      <c r="F2" s="116" t="s">
        <v>3</v>
      </c>
      <c r="G2" s="116"/>
      <c r="H2" s="111" t="s">
        <v>5</v>
      </c>
      <c r="I2" s="111"/>
      <c r="J2" s="77" t="s">
        <v>100</v>
      </c>
      <c r="K2" s="111" t="s">
        <v>105</v>
      </c>
      <c r="L2" s="111"/>
      <c r="M2" s="53"/>
      <c r="N2" s="55"/>
    </row>
    <row r="3" spans="1:15" ht="45.75" thickBot="1" x14ac:dyDescent="0.3">
      <c r="A3" s="66" t="s">
        <v>116</v>
      </c>
      <c r="B3" s="58" t="s">
        <v>1</v>
      </c>
      <c r="C3" s="60" t="s">
        <v>0</v>
      </c>
      <c r="D3" s="62" t="s">
        <v>109</v>
      </c>
      <c r="E3" s="64" t="s">
        <v>117</v>
      </c>
      <c r="F3" s="35" t="s">
        <v>4</v>
      </c>
      <c r="G3" s="36" t="s">
        <v>103</v>
      </c>
      <c r="H3" s="36" t="s">
        <v>4</v>
      </c>
      <c r="I3" s="36" t="s">
        <v>104</v>
      </c>
      <c r="J3" s="36" t="s">
        <v>123</v>
      </c>
      <c r="K3" s="36" t="s">
        <v>124</v>
      </c>
      <c r="L3" s="36" t="s">
        <v>125</v>
      </c>
      <c r="M3" s="54" t="s">
        <v>106</v>
      </c>
      <c r="N3" s="56" t="s">
        <v>102</v>
      </c>
    </row>
    <row r="4" spans="1:15" ht="15.75" thickTop="1" x14ac:dyDescent="0.25">
      <c r="A4" s="27"/>
      <c r="B4" s="3" t="s">
        <v>133</v>
      </c>
      <c r="C4" s="23" t="s">
        <v>15</v>
      </c>
      <c r="D4" s="19" t="s">
        <v>113</v>
      </c>
      <c r="E4" s="19">
        <v>41515</v>
      </c>
      <c r="F4" s="4">
        <v>5402.25</v>
      </c>
      <c r="G4" s="4">
        <v>3035.3</v>
      </c>
      <c r="H4" s="4">
        <v>5402.25</v>
      </c>
      <c r="I4" s="79">
        <v>3035.3</v>
      </c>
      <c r="J4" s="4"/>
      <c r="K4" s="5"/>
      <c r="L4" s="18"/>
      <c r="M4" s="18"/>
      <c r="N4" s="26"/>
      <c r="O4" s="80">
        <f>(F4+G4)-H4-I4-J4-K4-L4-M4-N4</f>
        <v>-9.0949470177292824E-13</v>
      </c>
    </row>
    <row r="5" spans="1:15" x14ac:dyDescent="0.25">
      <c r="A5" s="27"/>
      <c r="B5" s="3" t="s">
        <v>51</v>
      </c>
      <c r="C5" s="23" t="s">
        <v>52</v>
      </c>
      <c r="D5" s="19" t="s">
        <v>113</v>
      </c>
      <c r="E5" s="19">
        <v>41520</v>
      </c>
      <c r="F5" s="79">
        <v>0</v>
      </c>
      <c r="G5" s="79">
        <v>517.5</v>
      </c>
      <c r="H5" s="79"/>
      <c r="I5" s="79"/>
      <c r="J5" s="79"/>
      <c r="K5" s="5">
        <f>G5-J5</f>
        <v>517.5</v>
      </c>
      <c r="L5" s="18"/>
      <c r="M5" s="18"/>
      <c r="N5" s="26"/>
      <c r="O5" s="80">
        <f t="shared" ref="O5:O68" si="0">(F5+G5)-H5-I5-J5-K5-L5-M5-N5</f>
        <v>0</v>
      </c>
    </row>
    <row r="6" spans="1:15" x14ac:dyDescent="0.25">
      <c r="A6" s="27"/>
      <c r="B6" s="3" t="s">
        <v>53</v>
      </c>
      <c r="C6" s="23" t="s">
        <v>54</v>
      </c>
      <c r="D6" s="19" t="s">
        <v>113</v>
      </c>
      <c r="E6" s="19">
        <v>41507</v>
      </c>
      <c r="F6" s="79">
        <v>9317.18</v>
      </c>
      <c r="G6" s="79">
        <v>1466.92</v>
      </c>
      <c r="H6" s="79">
        <v>9317.18</v>
      </c>
      <c r="I6" s="79">
        <v>1466.92</v>
      </c>
      <c r="J6" s="79"/>
      <c r="K6" s="5"/>
      <c r="L6" s="18"/>
      <c r="M6" s="18"/>
      <c r="N6" s="26"/>
      <c r="O6" s="80">
        <f t="shared" si="0"/>
        <v>0</v>
      </c>
    </row>
    <row r="7" spans="1:15" x14ac:dyDescent="0.25">
      <c r="A7" s="27"/>
      <c r="B7" s="3" t="s">
        <v>82</v>
      </c>
      <c r="C7" s="23" t="s">
        <v>83</v>
      </c>
      <c r="D7" s="19" t="s">
        <v>113</v>
      </c>
      <c r="E7" s="19">
        <v>41519</v>
      </c>
      <c r="F7" s="79">
        <v>2293.6999999999998</v>
      </c>
      <c r="G7" s="79">
        <v>783.9</v>
      </c>
      <c r="H7" s="79">
        <v>2293.6999999999998</v>
      </c>
      <c r="I7" s="79">
        <v>783.9</v>
      </c>
      <c r="J7" s="79"/>
      <c r="K7" s="5">
        <v>0</v>
      </c>
      <c r="L7" s="18"/>
      <c r="M7" s="18"/>
      <c r="N7" s="26"/>
      <c r="O7" s="80">
        <f t="shared" si="0"/>
        <v>1.1368683772161603E-13</v>
      </c>
    </row>
    <row r="8" spans="1:15" x14ac:dyDescent="0.25">
      <c r="A8" s="27"/>
      <c r="B8" s="3" t="s">
        <v>85</v>
      </c>
      <c r="C8" s="23" t="s">
        <v>93</v>
      </c>
      <c r="D8" s="19" t="s">
        <v>113</v>
      </c>
      <c r="E8" s="19">
        <v>41520</v>
      </c>
      <c r="F8" s="79">
        <v>6576.15</v>
      </c>
      <c r="G8" s="79">
        <v>2613.34</v>
      </c>
      <c r="H8" s="79">
        <v>6576.15</v>
      </c>
      <c r="I8" s="79">
        <v>986.42</v>
      </c>
      <c r="J8" s="79"/>
      <c r="K8" s="5">
        <f>G8-I8</f>
        <v>1626.92</v>
      </c>
      <c r="L8" s="18"/>
      <c r="M8" s="18"/>
      <c r="N8" s="26"/>
      <c r="O8" s="80">
        <f t="shared" si="0"/>
        <v>0</v>
      </c>
    </row>
    <row r="9" spans="1:15" x14ac:dyDescent="0.25">
      <c r="A9" s="27"/>
      <c r="B9" s="3" t="s">
        <v>16</v>
      </c>
      <c r="C9" s="23" t="s">
        <v>17</v>
      </c>
      <c r="D9" s="19" t="s">
        <v>113</v>
      </c>
      <c r="E9" s="19">
        <v>41513</v>
      </c>
      <c r="F9" s="79">
        <v>14873.4</v>
      </c>
      <c r="G9" s="79">
        <v>574.88</v>
      </c>
      <c r="H9" s="79">
        <v>14873.4</v>
      </c>
      <c r="I9" s="79">
        <v>574.88</v>
      </c>
      <c r="J9" s="79"/>
      <c r="K9" s="5">
        <f>G9-I9</f>
        <v>0</v>
      </c>
      <c r="L9" s="18"/>
      <c r="M9" s="18"/>
      <c r="N9" s="26"/>
      <c r="O9" s="80">
        <f t="shared" si="0"/>
        <v>-7.9580786405131221E-13</v>
      </c>
    </row>
    <row r="10" spans="1:15" x14ac:dyDescent="0.25">
      <c r="A10" s="27"/>
      <c r="B10" s="3" t="s">
        <v>12</v>
      </c>
      <c r="C10" s="23" t="s">
        <v>13</v>
      </c>
      <c r="D10" s="19" t="s">
        <v>113</v>
      </c>
      <c r="E10" s="19">
        <v>41536</v>
      </c>
      <c r="F10" s="79">
        <v>38022.480000000003</v>
      </c>
      <c r="G10" s="79">
        <v>977.95</v>
      </c>
      <c r="H10" s="79">
        <v>38022.480000000003</v>
      </c>
      <c r="I10" s="79">
        <v>977.95</v>
      </c>
      <c r="J10" s="79"/>
      <c r="K10" s="5"/>
      <c r="L10" s="18"/>
      <c r="M10" s="18"/>
      <c r="N10" s="26"/>
      <c r="O10" s="80">
        <f t="shared" si="0"/>
        <v>-2.9558577807620168E-12</v>
      </c>
    </row>
    <row r="11" spans="1:15" x14ac:dyDescent="0.25">
      <c r="A11" s="27"/>
      <c r="B11" s="3" t="s">
        <v>20</v>
      </c>
      <c r="C11" s="23" t="s">
        <v>21</v>
      </c>
      <c r="D11" s="19" t="s">
        <v>113</v>
      </c>
      <c r="E11" s="19">
        <v>41544</v>
      </c>
      <c r="F11" s="79">
        <v>18087.02</v>
      </c>
      <c r="G11" s="79">
        <v>7116</v>
      </c>
      <c r="H11" s="79">
        <v>18087.02</v>
      </c>
      <c r="I11" s="79">
        <v>7116</v>
      </c>
      <c r="J11" s="79"/>
      <c r="K11" s="5">
        <f>G11-I11</f>
        <v>0</v>
      </c>
      <c r="L11" s="18"/>
      <c r="M11" s="18"/>
      <c r="N11" s="26"/>
      <c r="O11" s="80">
        <f t="shared" si="0"/>
        <v>0</v>
      </c>
    </row>
    <row r="12" spans="1:15" x14ac:dyDescent="0.25">
      <c r="A12" s="27"/>
      <c r="B12" s="3" t="s">
        <v>73</v>
      </c>
      <c r="C12" s="23" t="s">
        <v>74</v>
      </c>
      <c r="D12" s="19" t="s">
        <v>113</v>
      </c>
      <c r="E12" s="19">
        <v>41557</v>
      </c>
      <c r="F12" s="79">
        <v>882.28</v>
      </c>
      <c r="G12" s="79">
        <v>4.76</v>
      </c>
      <c r="H12" s="79">
        <v>882.28</v>
      </c>
      <c r="I12" s="79">
        <v>4.76</v>
      </c>
      <c r="J12" s="79"/>
      <c r="K12" s="5"/>
      <c r="L12" s="18"/>
      <c r="M12" s="18"/>
      <c r="N12" s="26"/>
      <c r="O12" s="80">
        <f t="shared" si="0"/>
        <v>-8.8817841970012523E-15</v>
      </c>
    </row>
    <row r="13" spans="1:15" x14ac:dyDescent="0.25">
      <c r="A13" s="27"/>
      <c r="B13" s="3" t="s">
        <v>133</v>
      </c>
      <c r="C13" s="23" t="s">
        <v>15</v>
      </c>
      <c r="D13" s="19" t="s">
        <v>115</v>
      </c>
      <c r="E13" s="19">
        <v>41544</v>
      </c>
      <c r="F13" s="79">
        <v>2810.69</v>
      </c>
      <c r="G13" s="79">
        <v>720.36</v>
      </c>
      <c r="H13" s="79">
        <v>2810.69</v>
      </c>
      <c r="I13" s="79">
        <v>720.36</v>
      </c>
      <c r="J13" s="79"/>
      <c r="K13" s="5"/>
      <c r="L13" s="18"/>
      <c r="M13" s="18"/>
      <c r="N13" s="26"/>
      <c r="O13" s="80">
        <f t="shared" si="0"/>
        <v>1.1368683772161603E-13</v>
      </c>
    </row>
    <row r="14" spans="1:15" x14ac:dyDescent="0.25">
      <c r="A14" s="27"/>
      <c r="B14" s="3" t="s">
        <v>51</v>
      </c>
      <c r="C14" s="23" t="s">
        <v>52</v>
      </c>
      <c r="D14" s="19" t="s">
        <v>115</v>
      </c>
      <c r="E14" s="19">
        <v>41544</v>
      </c>
      <c r="F14" s="79">
        <v>4545.74</v>
      </c>
      <c r="G14" s="79">
        <v>762.25</v>
      </c>
      <c r="H14" s="79">
        <v>4545.74</v>
      </c>
      <c r="I14" s="79">
        <v>681.86</v>
      </c>
      <c r="J14" s="79"/>
      <c r="K14" s="5">
        <f>G14-I14</f>
        <v>80.389999999999986</v>
      </c>
      <c r="L14" s="18"/>
      <c r="M14" s="18"/>
      <c r="N14" s="26"/>
      <c r="O14" s="80">
        <f t="shared" si="0"/>
        <v>0</v>
      </c>
    </row>
    <row r="15" spans="1:15" x14ac:dyDescent="0.25">
      <c r="A15" s="27"/>
      <c r="B15" s="3" t="s">
        <v>53</v>
      </c>
      <c r="C15" s="23" t="s">
        <v>54</v>
      </c>
      <c r="D15" s="19" t="s">
        <v>115</v>
      </c>
      <c r="E15" s="19">
        <v>41555</v>
      </c>
      <c r="F15" s="79">
        <v>17092.13</v>
      </c>
      <c r="G15" s="79">
        <v>2253.64</v>
      </c>
      <c r="H15" s="79">
        <v>17092.13</v>
      </c>
      <c r="I15" s="79">
        <v>2253.64</v>
      </c>
      <c r="J15" s="79"/>
      <c r="K15" s="5"/>
      <c r="L15" s="18"/>
      <c r="M15" s="18"/>
      <c r="N15" s="26"/>
      <c r="O15" s="80">
        <f t="shared" si="0"/>
        <v>-4.5474735088646412E-13</v>
      </c>
    </row>
    <row r="16" spans="1:15" x14ac:dyDescent="0.25">
      <c r="A16" s="27"/>
      <c r="B16" s="3" t="s">
        <v>12</v>
      </c>
      <c r="C16" s="23" t="s">
        <v>13</v>
      </c>
      <c r="D16" s="19" t="s">
        <v>115</v>
      </c>
      <c r="E16" s="19">
        <v>41544</v>
      </c>
      <c r="F16" s="79">
        <v>99690.63</v>
      </c>
      <c r="G16" s="79">
        <v>1330.8</v>
      </c>
      <c r="H16" s="79">
        <v>99690.63</v>
      </c>
      <c r="I16" s="79">
        <v>1330.8</v>
      </c>
      <c r="J16" s="79"/>
      <c r="K16" s="5"/>
      <c r="L16" s="18"/>
      <c r="M16" s="18"/>
      <c r="N16" s="26"/>
      <c r="O16" s="80">
        <f t="shared" si="0"/>
        <v>2.9558577807620168E-12</v>
      </c>
    </row>
    <row r="17" spans="1:15" x14ac:dyDescent="0.25">
      <c r="A17" s="27"/>
      <c r="B17" s="3" t="s">
        <v>20</v>
      </c>
      <c r="C17" s="23" t="s">
        <v>21</v>
      </c>
      <c r="D17" s="19" t="s">
        <v>115</v>
      </c>
      <c r="E17" s="19">
        <v>41547</v>
      </c>
      <c r="F17" s="79">
        <v>43605.66</v>
      </c>
      <c r="G17" s="79">
        <v>7032</v>
      </c>
      <c r="H17" s="79">
        <v>43605.66</v>
      </c>
      <c r="I17" s="79">
        <v>7032</v>
      </c>
      <c r="J17" s="79"/>
      <c r="K17" s="5">
        <f>G17-I17</f>
        <v>0</v>
      </c>
      <c r="L17" s="18"/>
      <c r="M17" s="18"/>
      <c r="N17" s="26"/>
      <c r="O17" s="80">
        <f t="shared" si="0"/>
        <v>0</v>
      </c>
    </row>
    <row r="18" spans="1:15" x14ac:dyDescent="0.25">
      <c r="A18" s="27"/>
      <c r="B18" s="3" t="s">
        <v>148</v>
      </c>
      <c r="C18" s="23" t="s">
        <v>94</v>
      </c>
      <c r="D18" s="19" t="s">
        <v>115</v>
      </c>
      <c r="E18" s="19">
        <v>41547</v>
      </c>
      <c r="F18" s="79">
        <v>3940.7</v>
      </c>
      <c r="G18" s="79">
        <v>0</v>
      </c>
      <c r="H18" s="79"/>
      <c r="I18" s="79"/>
      <c r="J18" s="79"/>
      <c r="K18" s="5"/>
      <c r="L18" s="18"/>
      <c r="M18" s="18"/>
      <c r="N18" s="26">
        <v>3940.7</v>
      </c>
      <c r="O18" s="80">
        <f t="shared" si="0"/>
        <v>0</v>
      </c>
    </row>
    <row r="19" spans="1:15" x14ac:dyDescent="0.25">
      <c r="A19" s="27"/>
      <c r="B19" s="3" t="s">
        <v>16</v>
      </c>
      <c r="C19" s="23" t="s">
        <v>17</v>
      </c>
      <c r="D19" s="19" t="s">
        <v>115</v>
      </c>
      <c r="E19" s="19">
        <v>41558</v>
      </c>
      <c r="F19" s="79">
        <v>3706.82</v>
      </c>
      <c r="G19" s="79">
        <v>801.99</v>
      </c>
      <c r="H19" s="79">
        <v>3706.82</v>
      </c>
      <c r="I19" s="79">
        <v>801.99</v>
      </c>
      <c r="J19" s="79"/>
      <c r="K19" s="5">
        <v>0</v>
      </c>
      <c r="L19" s="18"/>
      <c r="M19" s="18"/>
      <c r="N19" s="26"/>
      <c r="O19" s="80">
        <f t="shared" si="0"/>
        <v>2.2737367544323206E-13</v>
      </c>
    </row>
    <row r="20" spans="1:15" x14ac:dyDescent="0.25">
      <c r="A20" s="27"/>
      <c r="B20" s="3" t="s">
        <v>82</v>
      </c>
      <c r="C20" s="23" t="s">
        <v>83</v>
      </c>
      <c r="D20" s="19" t="s">
        <v>115</v>
      </c>
      <c r="E20" s="19">
        <v>41547</v>
      </c>
      <c r="F20" s="79">
        <v>3188.5</v>
      </c>
      <c r="G20" s="79">
        <v>653.25</v>
      </c>
      <c r="H20" s="79">
        <v>3188.5</v>
      </c>
      <c r="I20" s="79">
        <v>653.25</v>
      </c>
      <c r="J20" s="79"/>
      <c r="K20" s="5">
        <f>G20-I20</f>
        <v>0</v>
      </c>
      <c r="L20" s="18"/>
      <c r="M20" s="18"/>
      <c r="N20" s="26"/>
      <c r="O20" s="80">
        <f t="shared" si="0"/>
        <v>0</v>
      </c>
    </row>
    <row r="21" spans="1:15" x14ac:dyDescent="0.25">
      <c r="A21" s="27"/>
      <c r="B21" s="3" t="s">
        <v>73</v>
      </c>
      <c r="C21" s="23" t="s">
        <v>74</v>
      </c>
      <c r="D21" s="19" t="s">
        <v>115</v>
      </c>
      <c r="E21" s="19">
        <v>41547</v>
      </c>
      <c r="F21" s="79">
        <v>3224.4</v>
      </c>
      <c r="G21" s="79">
        <v>0</v>
      </c>
      <c r="H21" s="79">
        <v>3224.4</v>
      </c>
      <c r="I21" s="79">
        <v>0</v>
      </c>
      <c r="J21" s="79"/>
      <c r="K21" s="5"/>
      <c r="L21" s="18"/>
      <c r="M21" s="18"/>
      <c r="N21" s="26"/>
      <c r="O21" s="80">
        <f t="shared" si="0"/>
        <v>0</v>
      </c>
    </row>
    <row r="22" spans="1:15" x14ac:dyDescent="0.25">
      <c r="A22" s="27"/>
      <c r="B22" s="3" t="s">
        <v>85</v>
      </c>
      <c r="C22" s="23" t="s">
        <v>93</v>
      </c>
      <c r="D22" s="19" t="s">
        <v>115</v>
      </c>
      <c r="E22" s="19">
        <v>41600</v>
      </c>
      <c r="F22" s="79">
        <v>5672.65</v>
      </c>
      <c r="G22" s="79">
        <v>3428.27</v>
      </c>
      <c r="H22" s="79">
        <v>5672.65</v>
      </c>
      <c r="I22" s="79">
        <v>850.9</v>
      </c>
      <c r="J22" s="79"/>
      <c r="K22" s="5">
        <f>G22-I22</f>
        <v>2577.37</v>
      </c>
      <c r="L22" s="18"/>
      <c r="M22" s="18"/>
      <c r="N22" s="26"/>
      <c r="O22" s="80">
        <f t="shared" si="0"/>
        <v>4.5474735088646412E-13</v>
      </c>
    </row>
    <row r="23" spans="1:15" x14ac:dyDescent="0.25">
      <c r="A23" s="27"/>
      <c r="B23" s="3" t="s">
        <v>51</v>
      </c>
      <c r="C23" s="23" t="s">
        <v>52</v>
      </c>
      <c r="D23" s="19" t="s">
        <v>114</v>
      </c>
      <c r="E23" s="19">
        <v>41570</v>
      </c>
      <c r="F23" s="79">
        <v>13793.06</v>
      </c>
      <c r="G23" s="79">
        <v>3072.31</v>
      </c>
      <c r="H23" s="79">
        <v>13793.06</v>
      </c>
      <c r="I23" s="79">
        <v>2068.96</v>
      </c>
      <c r="J23" s="79"/>
      <c r="K23" s="5">
        <f>G23-I23</f>
        <v>1003.3499999999999</v>
      </c>
      <c r="L23" s="18"/>
      <c r="M23" s="18"/>
      <c r="N23" s="26"/>
      <c r="O23" s="80">
        <f t="shared" si="0"/>
        <v>-4.5474735088646412E-13</v>
      </c>
    </row>
    <row r="24" spans="1:15" x14ac:dyDescent="0.25">
      <c r="A24" s="27"/>
      <c r="B24" s="3" t="s">
        <v>12</v>
      </c>
      <c r="C24" s="23" t="s">
        <v>13</v>
      </c>
      <c r="D24" s="19" t="s">
        <v>114</v>
      </c>
      <c r="E24" s="19">
        <v>41536</v>
      </c>
      <c r="F24" s="79">
        <v>33445.980000000003</v>
      </c>
      <c r="G24" s="79">
        <v>5409.68</v>
      </c>
      <c r="H24" s="79">
        <v>33445.980000000003</v>
      </c>
      <c r="I24" s="79">
        <v>5409.68</v>
      </c>
      <c r="J24" s="79"/>
      <c r="K24" s="5"/>
      <c r="L24" s="18"/>
      <c r="M24" s="18"/>
      <c r="N24" s="26"/>
      <c r="O24" s="80">
        <f t="shared" si="0"/>
        <v>0</v>
      </c>
    </row>
    <row r="25" spans="1:15" x14ac:dyDescent="0.25">
      <c r="A25" s="27"/>
      <c r="B25" s="3" t="s">
        <v>35</v>
      </c>
      <c r="C25" s="23" t="s">
        <v>36</v>
      </c>
      <c r="D25" s="19" t="s">
        <v>112</v>
      </c>
      <c r="E25" s="19">
        <v>41568</v>
      </c>
      <c r="F25" s="79">
        <v>9663.44</v>
      </c>
      <c r="G25" s="79">
        <v>2309.7399999999998</v>
      </c>
      <c r="H25" s="79">
        <v>9663.44</v>
      </c>
      <c r="I25" s="79">
        <v>2309.7399999999998</v>
      </c>
      <c r="J25" s="79"/>
      <c r="K25" s="5">
        <f>G25-I25</f>
        <v>0</v>
      </c>
      <c r="L25" s="18"/>
      <c r="M25" s="18"/>
      <c r="N25" s="26"/>
      <c r="O25" s="80">
        <f t="shared" si="0"/>
        <v>0</v>
      </c>
    </row>
    <row r="26" spans="1:15" x14ac:dyDescent="0.25">
      <c r="A26" s="27"/>
      <c r="B26" s="3" t="s">
        <v>39</v>
      </c>
      <c r="C26" s="23" t="s">
        <v>40</v>
      </c>
      <c r="D26" s="19" t="s">
        <v>112</v>
      </c>
      <c r="E26" s="19">
        <v>41571</v>
      </c>
      <c r="F26" s="79">
        <v>5459.65</v>
      </c>
      <c r="G26" s="79">
        <v>325.77999999999997</v>
      </c>
      <c r="H26" s="79">
        <v>5459.65</v>
      </c>
      <c r="I26" s="79">
        <v>325.77999999999997</v>
      </c>
      <c r="J26" s="79"/>
      <c r="K26" s="5">
        <f>G26-I26</f>
        <v>0</v>
      </c>
      <c r="L26" s="18"/>
      <c r="M26" s="18"/>
      <c r="N26" s="26"/>
      <c r="O26" s="80">
        <f t="shared" si="0"/>
        <v>-2.2737367544323206E-13</v>
      </c>
    </row>
    <row r="27" spans="1:15" x14ac:dyDescent="0.25">
      <c r="A27" s="27"/>
      <c r="B27" s="3" t="s">
        <v>16</v>
      </c>
      <c r="C27" s="23" t="s">
        <v>17</v>
      </c>
      <c r="D27" s="19" t="s">
        <v>114</v>
      </c>
      <c r="E27" s="19">
        <v>41563</v>
      </c>
      <c r="F27" s="79">
        <v>1109.5</v>
      </c>
      <c r="G27" s="79">
        <v>4157.76</v>
      </c>
      <c r="H27" s="79">
        <v>1109.5</v>
      </c>
      <c r="I27" s="79">
        <v>4157.76</v>
      </c>
      <c r="J27" s="79"/>
      <c r="K27" s="5">
        <f>G27-I27</f>
        <v>0</v>
      </c>
      <c r="L27" s="18"/>
      <c r="M27" s="18"/>
      <c r="N27" s="26"/>
      <c r="O27" s="80">
        <f t="shared" si="0"/>
        <v>0</v>
      </c>
    </row>
    <row r="28" spans="1:15" x14ac:dyDescent="0.25">
      <c r="A28" s="27"/>
      <c r="B28" s="3" t="s">
        <v>49</v>
      </c>
      <c r="C28" s="23" t="s">
        <v>50</v>
      </c>
      <c r="D28" s="19" t="s">
        <v>112</v>
      </c>
      <c r="E28" s="19">
        <v>41575</v>
      </c>
      <c r="F28" s="79">
        <v>4577.92</v>
      </c>
      <c r="G28" s="79">
        <v>1062.5</v>
      </c>
      <c r="H28" s="79">
        <v>4577.92</v>
      </c>
      <c r="I28" s="79">
        <v>1062.5</v>
      </c>
      <c r="J28" s="79"/>
      <c r="K28" s="5"/>
      <c r="L28" s="18"/>
      <c r="M28" s="18"/>
      <c r="N28" s="26"/>
      <c r="O28" s="80">
        <f t="shared" si="0"/>
        <v>0</v>
      </c>
    </row>
    <row r="29" spans="1:15" x14ac:dyDescent="0.25">
      <c r="A29" s="27"/>
      <c r="B29" s="3" t="s">
        <v>67</v>
      </c>
      <c r="C29" s="23" t="s">
        <v>68</v>
      </c>
      <c r="D29" s="19" t="s">
        <v>112</v>
      </c>
      <c r="E29" s="19">
        <v>41575</v>
      </c>
      <c r="F29" s="79">
        <v>292766.19</v>
      </c>
      <c r="G29" s="79">
        <v>43914.92</v>
      </c>
      <c r="H29" s="79">
        <v>292766.19</v>
      </c>
      <c r="I29" s="79">
        <v>43914.92</v>
      </c>
      <c r="J29" s="79"/>
      <c r="K29" s="5"/>
      <c r="L29" s="18"/>
      <c r="M29" s="18"/>
      <c r="N29" s="26"/>
      <c r="O29" s="80">
        <f t="shared" si="0"/>
        <v>-1.4551915228366852E-11</v>
      </c>
    </row>
    <row r="30" spans="1:15" x14ac:dyDescent="0.25">
      <c r="A30" s="27"/>
      <c r="B30" s="3" t="s">
        <v>37</v>
      </c>
      <c r="C30" s="23" t="s">
        <v>38</v>
      </c>
      <c r="D30" s="19" t="s">
        <v>112</v>
      </c>
      <c r="E30" s="19">
        <v>41570</v>
      </c>
      <c r="F30" s="79">
        <v>0</v>
      </c>
      <c r="G30" s="79">
        <v>3350</v>
      </c>
      <c r="H30" s="79"/>
      <c r="I30" s="79"/>
      <c r="J30" s="79"/>
      <c r="K30" s="5">
        <v>3350</v>
      </c>
      <c r="L30" s="18"/>
      <c r="M30" s="18"/>
      <c r="N30" s="26"/>
      <c r="O30" s="80">
        <f t="shared" si="0"/>
        <v>0</v>
      </c>
    </row>
    <row r="31" spans="1:15" x14ac:dyDescent="0.25">
      <c r="A31" s="27"/>
      <c r="B31" s="3" t="s">
        <v>18</v>
      </c>
      <c r="C31" s="23" t="s">
        <v>19</v>
      </c>
      <c r="D31" s="19" t="s">
        <v>112</v>
      </c>
      <c r="E31" s="19">
        <v>41576</v>
      </c>
      <c r="F31" s="79">
        <v>30490.27</v>
      </c>
      <c r="G31" s="79">
        <v>6747.34</v>
      </c>
      <c r="H31" s="79">
        <v>30490.27</v>
      </c>
      <c r="I31" s="79">
        <v>5338.09</v>
      </c>
      <c r="J31" s="79"/>
      <c r="K31" s="5">
        <f>G31-I31</f>
        <v>1409.25</v>
      </c>
      <c r="L31" s="18"/>
      <c r="M31" s="18"/>
      <c r="N31" s="26"/>
      <c r="O31" s="80">
        <f t="shared" si="0"/>
        <v>0</v>
      </c>
    </row>
    <row r="32" spans="1:15" x14ac:dyDescent="0.25">
      <c r="A32" s="27"/>
      <c r="B32" s="3" t="s">
        <v>53</v>
      </c>
      <c r="C32" s="23" t="s">
        <v>54</v>
      </c>
      <c r="D32" s="19" t="s">
        <v>114</v>
      </c>
      <c r="E32" s="19">
        <v>41572</v>
      </c>
      <c r="F32" s="79">
        <v>8042.47</v>
      </c>
      <c r="G32" s="79">
        <v>844.44</v>
      </c>
      <c r="H32" s="79">
        <v>8042.47</v>
      </c>
      <c r="I32" s="79">
        <v>844.44</v>
      </c>
      <c r="J32" s="79"/>
      <c r="K32" s="5"/>
      <c r="L32" s="18"/>
      <c r="M32" s="18"/>
      <c r="N32" s="26"/>
      <c r="O32" s="80">
        <f t="shared" si="0"/>
        <v>-4.5474735088646412E-13</v>
      </c>
    </row>
    <row r="33" spans="1:15" x14ac:dyDescent="0.25">
      <c r="A33" s="27"/>
      <c r="B33" s="3" t="s">
        <v>6</v>
      </c>
      <c r="C33" s="23" t="s">
        <v>28</v>
      </c>
      <c r="D33" s="19" t="s">
        <v>112</v>
      </c>
      <c r="E33" s="19">
        <v>41577</v>
      </c>
      <c r="F33" s="79">
        <v>13656.53</v>
      </c>
      <c r="G33" s="79">
        <v>6919.77</v>
      </c>
      <c r="H33" s="79">
        <v>13656.53</v>
      </c>
      <c r="I33" s="79">
        <v>3920.21</v>
      </c>
      <c r="J33" s="79"/>
      <c r="K33" s="5">
        <f>G33-I33</f>
        <v>2999.5600000000004</v>
      </c>
      <c r="L33" s="18"/>
      <c r="M33" s="18"/>
      <c r="N33" s="26"/>
      <c r="O33" s="80">
        <f t="shared" si="0"/>
        <v>1.8189894035458565E-12</v>
      </c>
    </row>
    <row r="34" spans="1:15" x14ac:dyDescent="0.25">
      <c r="A34" s="27"/>
      <c r="B34" s="3" t="s">
        <v>6</v>
      </c>
      <c r="C34" s="23" t="s">
        <v>8</v>
      </c>
      <c r="D34" s="19" t="s">
        <v>112</v>
      </c>
      <c r="E34" s="19">
        <v>41577</v>
      </c>
      <c r="F34" s="79">
        <v>87547.95</v>
      </c>
      <c r="G34" s="79">
        <v>14712.3</v>
      </c>
      <c r="H34" s="79">
        <v>87547.95</v>
      </c>
      <c r="I34" s="79">
        <v>13132.19</v>
      </c>
      <c r="J34" s="79"/>
      <c r="K34" s="5">
        <f>G34-I34</f>
        <v>1580.1099999999988</v>
      </c>
      <c r="L34" s="18"/>
      <c r="M34" s="18"/>
      <c r="N34" s="26"/>
      <c r="O34" s="80">
        <f t="shared" si="0"/>
        <v>3.637978807091713E-12</v>
      </c>
    </row>
    <row r="35" spans="1:15" x14ac:dyDescent="0.25">
      <c r="A35" s="27"/>
      <c r="B35" s="3" t="s">
        <v>6</v>
      </c>
      <c r="C35" s="23" t="s">
        <v>32</v>
      </c>
      <c r="D35" s="19" t="s">
        <v>112</v>
      </c>
      <c r="E35" s="19">
        <v>41577</v>
      </c>
      <c r="F35" s="79">
        <v>38610.6</v>
      </c>
      <c r="G35" s="79">
        <v>6844.96</v>
      </c>
      <c r="H35" s="79">
        <v>38610.6</v>
      </c>
      <c r="I35" s="79">
        <f>6199.27+294.22</f>
        <v>6493.4900000000007</v>
      </c>
      <c r="J35" s="79"/>
      <c r="K35" s="5">
        <f>G35-I35</f>
        <v>351.46999999999935</v>
      </c>
      <c r="L35" s="18"/>
      <c r="M35" s="18"/>
      <c r="N35" s="26"/>
      <c r="O35" s="80">
        <f t="shared" si="0"/>
        <v>-9.0949470177292824E-13</v>
      </c>
    </row>
    <row r="36" spans="1:15" x14ac:dyDescent="0.25">
      <c r="A36" s="27"/>
      <c r="B36" s="3" t="s">
        <v>6</v>
      </c>
      <c r="C36" s="23" t="s">
        <v>9</v>
      </c>
      <c r="D36" s="19" t="s">
        <v>112</v>
      </c>
      <c r="E36" s="19">
        <v>41577</v>
      </c>
      <c r="F36" s="79">
        <v>49800.63</v>
      </c>
      <c r="G36" s="79">
        <v>10772.4</v>
      </c>
      <c r="H36" s="79">
        <v>49800.63</v>
      </c>
      <c r="I36" s="79">
        <v>10772.4</v>
      </c>
      <c r="J36" s="79"/>
      <c r="K36" s="5">
        <f t="shared" ref="K36:K41" si="1">G36-I36</f>
        <v>0</v>
      </c>
      <c r="L36" s="18"/>
      <c r="M36" s="18"/>
      <c r="N36" s="26"/>
      <c r="O36" s="80">
        <f t="shared" si="0"/>
        <v>1.8189894035458565E-12</v>
      </c>
    </row>
    <row r="37" spans="1:15" x14ac:dyDescent="0.25">
      <c r="A37" s="27"/>
      <c r="B37" s="3" t="s">
        <v>6</v>
      </c>
      <c r="C37" s="23" t="s">
        <v>7</v>
      </c>
      <c r="D37" s="19" t="s">
        <v>112</v>
      </c>
      <c r="E37" s="19">
        <v>41577</v>
      </c>
      <c r="F37" s="79">
        <v>65650.38</v>
      </c>
      <c r="G37" s="79">
        <v>14562.69</v>
      </c>
      <c r="H37" s="79">
        <v>65650.38</v>
      </c>
      <c r="I37" s="79">
        <v>11531.76</v>
      </c>
      <c r="J37" s="79"/>
      <c r="K37" s="5">
        <f t="shared" si="1"/>
        <v>3030.9300000000003</v>
      </c>
      <c r="L37" s="18"/>
      <c r="M37" s="18"/>
      <c r="N37" s="26"/>
      <c r="O37" s="80">
        <f t="shared" si="0"/>
        <v>1.8189894035458565E-12</v>
      </c>
    </row>
    <row r="38" spans="1:15" x14ac:dyDescent="0.25">
      <c r="A38" s="27"/>
      <c r="B38" s="3" t="s">
        <v>6</v>
      </c>
      <c r="C38" s="23" t="s">
        <v>29</v>
      </c>
      <c r="D38" s="19" t="s">
        <v>112</v>
      </c>
      <c r="E38" s="19">
        <v>41577</v>
      </c>
      <c r="F38" s="79">
        <v>3168.73</v>
      </c>
      <c r="G38" s="79">
        <v>4363.82</v>
      </c>
      <c r="H38" s="79">
        <v>3168.73</v>
      </c>
      <c r="I38" s="79">
        <v>3808.79</v>
      </c>
      <c r="J38" s="79"/>
      <c r="K38" s="5">
        <f t="shared" si="1"/>
        <v>555.02999999999975</v>
      </c>
      <c r="L38" s="18"/>
      <c r="M38" s="18"/>
      <c r="N38" s="26"/>
      <c r="O38" s="80">
        <f t="shared" si="0"/>
        <v>0</v>
      </c>
    </row>
    <row r="39" spans="1:15" x14ac:dyDescent="0.25">
      <c r="A39" s="27"/>
      <c r="B39" s="3" t="s">
        <v>6</v>
      </c>
      <c r="C39" s="23" t="s">
        <v>30</v>
      </c>
      <c r="D39" s="19" t="s">
        <v>112</v>
      </c>
      <c r="E39" s="19">
        <v>41577</v>
      </c>
      <c r="F39" s="79">
        <v>12944.36</v>
      </c>
      <c r="G39" s="79">
        <v>5785.18</v>
      </c>
      <c r="H39" s="79">
        <v>12944.36</v>
      </c>
      <c r="I39" s="79">
        <v>3254.53</v>
      </c>
      <c r="J39" s="79"/>
      <c r="K39" s="5">
        <f t="shared" si="1"/>
        <v>2530.65</v>
      </c>
      <c r="L39" s="18"/>
      <c r="M39" s="18"/>
      <c r="N39" s="26"/>
      <c r="O39" s="80">
        <f t="shared" si="0"/>
        <v>0</v>
      </c>
    </row>
    <row r="40" spans="1:15" x14ac:dyDescent="0.25">
      <c r="A40" s="27"/>
      <c r="B40" s="3" t="s">
        <v>6</v>
      </c>
      <c r="C40" s="23" t="s">
        <v>79</v>
      </c>
      <c r="D40" s="19" t="s">
        <v>112</v>
      </c>
      <c r="E40" s="19">
        <v>41577</v>
      </c>
      <c r="F40" s="79">
        <v>4938.74</v>
      </c>
      <c r="G40" s="79">
        <v>6670.41</v>
      </c>
      <c r="H40" s="79">
        <v>4938.74</v>
      </c>
      <c r="I40" s="79">
        <v>2394.87</v>
      </c>
      <c r="J40" s="79"/>
      <c r="K40" s="5">
        <f t="shared" si="1"/>
        <v>4275.54</v>
      </c>
      <c r="L40" s="18"/>
      <c r="M40" s="18"/>
      <c r="N40" s="26"/>
      <c r="O40" s="80">
        <f t="shared" si="0"/>
        <v>0</v>
      </c>
    </row>
    <row r="41" spans="1:15" x14ac:dyDescent="0.25">
      <c r="A41" s="27"/>
      <c r="B41" s="3" t="s">
        <v>6</v>
      </c>
      <c r="C41" s="23" t="s">
        <v>33</v>
      </c>
      <c r="D41" s="19" t="s">
        <v>112</v>
      </c>
      <c r="E41" s="19">
        <v>41577</v>
      </c>
      <c r="F41" s="79">
        <v>727.51</v>
      </c>
      <c r="G41" s="79">
        <v>5847.52</v>
      </c>
      <c r="H41" s="79">
        <v>727.51</v>
      </c>
      <c r="I41" s="79">
        <f>109.13+483.45</f>
        <v>592.57999999999993</v>
      </c>
      <c r="J41" s="79"/>
      <c r="K41" s="5">
        <f t="shared" si="1"/>
        <v>5254.9400000000005</v>
      </c>
      <c r="L41" s="18"/>
      <c r="M41" s="18"/>
      <c r="N41" s="26"/>
      <c r="O41" s="80">
        <f t="shared" si="0"/>
        <v>0</v>
      </c>
    </row>
    <row r="42" spans="1:15" x14ac:dyDescent="0.25">
      <c r="A42" s="27"/>
      <c r="B42" s="3" t="s">
        <v>6</v>
      </c>
      <c r="C42" s="23" t="s">
        <v>31</v>
      </c>
      <c r="D42" s="19" t="s">
        <v>112</v>
      </c>
      <c r="E42" s="19">
        <v>41577</v>
      </c>
      <c r="F42" s="79">
        <v>12065.42</v>
      </c>
      <c r="G42" s="79">
        <v>4426.16</v>
      </c>
      <c r="H42" s="79">
        <v>12065.42</v>
      </c>
      <c r="I42" s="79">
        <f>2715.2+886.64</f>
        <v>3601.8399999999997</v>
      </c>
      <c r="J42" s="79"/>
      <c r="K42" s="5">
        <f t="shared" ref="K42:K43" si="2">G42-I42</f>
        <v>824.32000000000016</v>
      </c>
      <c r="L42" s="18"/>
      <c r="M42" s="18"/>
      <c r="N42" s="26"/>
      <c r="O42" s="80">
        <f t="shared" si="0"/>
        <v>1.8189894035458565E-12</v>
      </c>
    </row>
    <row r="43" spans="1:15" x14ac:dyDescent="0.25">
      <c r="A43" s="27"/>
      <c r="B43" s="3" t="s">
        <v>6</v>
      </c>
      <c r="C43" s="23" t="s">
        <v>11</v>
      </c>
      <c r="D43" s="19" t="s">
        <v>112</v>
      </c>
      <c r="E43" s="19">
        <v>41577</v>
      </c>
      <c r="F43" s="79">
        <v>122863.69</v>
      </c>
      <c r="G43" s="79">
        <v>30834.400000000001</v>
      </c>
      <c r="H43" s="79">
        <v>122863.69</v>
      </c>
      <c r="I43" s="79">
        <v>26946.18</v>
      </c>
      <c r="J43" s="79"/>
      <c r="K43" s="5">
        <f t="shared" si="2"/>
        <v>3888.2200000000012</v>
      </c>
      <c r="L43" s="18"/>
      <c r="M43" s="18"/>
      <c r="N43" s="26"/>
      <c r="O43" s="80">
        <f t="shared" si="0"/>
        <v>-7.2759576141834259E-12</v>
      </c>
    </row>
    <row r="44" spans="1:15" x14ac:dyDescent="0.25">
      <c r="A44" s="27"/>
      <c r="B44" s="3" t="s">
        <v>6</v>
      </c>
      <c r="C44" s="23" t="s">
        <v>10</v>
      </c>
      <c r="D44" s="19" t="s">
        <v>112</v>
      </c>
      <c r="E44" s="19">
        <v>41577</v>
      </c>
      <c r="F44" s="79">
        <v>72266.52</v>
      </c>
      <c r="G44" s="79">
        <v>11557.89</v>
      </c>
      <c r="H44" s="79">
        <v>72266.52</v>
      </c>
      <c r="I44" s="79">
        <v>11557.89</v>
      </c>
      <c r="J44" s="79"/>
      <c r="K44" s="5">
        <f>G44-I44</f>
        <v>0</v>
      </c>
      <c r="L44" s="18"/>
      <c r="M44" s="18"/>
      <c r="N44" s="26"/>
      <c r="O44" s="80">
        <f t="shared" si="0"/>
        <v>0</v>
      </c>
    </row>
    <row r="45" spans="1:15" x14ac:dyDescent="0.25">
      <c r="A45" s="27"/>
      <c r="B45" s="3" t="s">
        <v>87</v>
      </c>
      <c r="C45" s="23" t="s">
        <v>95</v>
      </c>
      <c r="D45" s="19" t="s">
        <v>112</v>
      </c>
      <c r="E45" s="19">
        <v>41577</v>
      </c>
      <c r="F45" s="79">
        <v>5121.29</v>
      </c>
      <c r="G45" s="79">
        <v>7808.25</v>
      </c>
      <c r="H45" s="79">
        <v>5121.29</v>
      </c>
      <c r="I45" s="79">
        <v>7808.25</v>
      </c>
      <c r="J45" s="79"/>
      <c r="K45" s="5">
        <f>G45-I45</f>
        <v>0</v>
      </c>
      <c r="L45" s="18"/>
      <c r="M45" s="18"/>
      <c r="N45" s="26"/>
      <c r="O45" s="80">
        <f t="shared" si="0"/>
        <v>9.0949470177292824E-13</v>
      </c>
    </row>
    <row r="46" spans="1:15" x14ac:dyDescent="0.25">
      <c r="A46" s="27"/>
      <c r="B46" s="3" t="s">
        <v>134</v>
      </c>
      <c r="C46" s="23" t="s">
        <v>25</v>
      </c>
      <c r="D46" s="19" t="s">
        <v>112</v>
      </c>
      <c r="E46" s="19">
        <v>41577</v>
      </c>
      <c r="F46" s="79">
        <v>23519.65</v>
      </c>
      <c r="G46" s="79">
        <v>3150</v>
      </c>
      <c r="H46" s="79">
        <v>23519.65</v>
      </c>
      <c r="I46" s="79">
        <v>3150</v>
      </c>
      <c r="J46" s="79"/>
      <c r="K46" s="5"/>
      <c r="L46" s="18"/>
      <c r="M46" s="18"/>
      <c r="N46" s="26"/>
      <c r="O46" s="80">
        <f t="shared" si="0"/>
        <v>0</v>
      </c>
    </row>
    <row r="47" spans="1:15" x14ac:dyDescent="0.25">
      <c r="A47" s="27"/>
      <c r="B47" s="3" t="s">
        <v>59</v>
      </c>
      <c r="C47" s="23" t="s">
        <v>60</v>
      </c>
      <c r="D47" s="19" t="s">
        <v>112</v>
      </c>
      <c r="E47" s="19">
        <v>41577</v>
      </c>
      <c r="F47" s="79">
        <v>12728.79</v>
      </c>
      <c r="G47" s="79">
        <v>5940.46</v>
      </c>
      <c r="H47" s="79">
        <v>12728.79</v>
      </c>
      <c r="I47" s="79">
        <v>5940.46</v>
      </c>
      <c r="J47" s="79"/>
      <c r="K47" s="5"/>
      <c r="L47" s="18"/>
      <c r="M47" s="18"/>
      <c r="N47" s="26"/>
      <c r="O47" s="80">
        <f t="shared" si="0"/>
        <v>-9.0949470177292824E-13</v>
      </c>
    </row>
    <row r="48" spans="1:15" x14ac:dyDescent="0.25">
      <c r="A48" s="27"/>
      <c r="B48" s="3" t="s">
        <v>22</v>
      </c>
      <c r="C48" s="23" t="s">
        <v>23</v>
      </c>
      <c r="D48" s="19" t="s">
        <v>112</v>
      </c>
      <c r="E48" s="19">
        <v>41577</v>
      </c>
      <c r="F48" s="79">
        <v>62417.99</v>
      </c>
      <c r="G48" s="79">
        <v>8509.41</v>
      </c>
      <c r="H48" s="79">
        <v>62417.99</v>
      </c>
      <c r="I48" s="79">
        <v>8509.41</v>
      </c>
      <c r="J48" s="79"/>
      <c r="K48" s="5"/>
      <c r="L48" s="18"/>
      <c r="M48" s="18"/>
      <c r="N48" s="26"/>
      <c r="O48" s="80">
        <f t="shared" si="0"/>
        <v>-3.637978807091713E-12</v>
      </c>
    </row>
    <row r="49" spans="1:15" x14ac:dyDescent="0.25">
      <c r="A49" s="27"/>
      <c r="B49" s="3" t="s">
        <v>84</v>
      </c>
      <c r="C49" s="23" t="s">
        <v>92</v>
      </c>
      <c r="D49" s="19" t="s">
        <v>112</v>
      </c>
      <c r="E49" s="19">
        <v>41577</v>
      </c>
      <c r="F49" s="79">
        <v>34389.85</v>
      </c>
      <c r="G49" s="79">
        <v>4823.74</v>
      </c>
      <c r="H49" s="79">
        <v>34389.85</v>
      </c>
      <c r="I49" s="79">
        <v>4823.74</v>
      </c>
      <c r="J49" s="79"/>
      <c r="K49" s="5"/>
      <c r="L49" s="18"/>
      <c r="M49" s="18"/>
      <c r="N49" s="26"/>
      <c r="O49" s="80">
        <f t="shared" si="0"/>
        <v>-1.8189894035458565E-12</v>
      </c>
    </row>
    <row r="50" spans="1:15" x14ac:dyDescent="0.25">
      <c r="A50" s="27"/>
      <c r="B50" s="3" t="s">
        <v>20</v>
      </c>
      <c r="C50" s="23" t="s">
        <v>21</v>
      </c>
      <c r="D50" s="19" t="s">
        <v>114</v>
      </c>
      <c r="E50" s="19">
        <v>41577</v>
      </c>
      <c r="F50" s="79">
        <v>37712.769999999997</v>
      </c>
      <c r="G50" s="79">
        <v>17067.509999999998</v>
      </c>
      <c r="H50" s="79">
        <v>37712.769999999997</v>
      </c>
      <c r="I50" s="79">
        <v>7357.87</v>
      </c>
      <c r="J50" s="79"/>
      <c r="K50" s="5">
        <f>G50-I50</f>
        <v>9709.64</v>
      </c>
      <c r="L50" s="18"/>
      <c r="M50" s="18"/>
      <c r="N50" s="26"/>
      <c r="O50" s="80">
        <f t="shared" si="0"/>
        <v>3.637978807091713E-12</v>
      </c>
    </row>
    <row r="51" spans="1:15" x14ac:dyDescent="0.25">
      <c r="A51" s="27"/>
      <c r="B51" s="3" t="s">
        <v>41</v>
      </c>
      <c r="C51" s="23" t="s">
        <v>42</v>
      </c>
      <c r="D51" s="19" t="s">
        <v>112</v>
      </c>
      <c r="E51" s="19">
        <v>41579</v>
      </c>
      <c r="F51" s="79">
        <v>19377.810000000001</v>
      </c>
      <c r="G51" s="79">
        <v>286.35000000000002</v>
      </c>
      <c r="H51" s="79">
        <v>19377.810000000001</v>
      </c>
      <c r="I51" s="79">
        <v>286.35000000000002</v>
      </c>
      <c r="J51" s="79"/>
      <c r="K51" s="5"/>
      <c r="L51" s="18"/>
      <c r="M51" s="18"/>
      <c r="N51" s="26"/>
      <c r="O51" s="80">
        <f t="shared" si="0"/>
        <v>-1.4779288903810084E-12</v>
      </c>
    </row>
    <row r="52" spans="1:15" x14ac:dyDescent="0.25">
      <c r="A52" s="27"/>
      <c r="B52" s="3" t="s">
        <v>80</v>
      </c>
      <c r="C52" s="23" t="s">
        <v>81</v>
      </c>
      <c r="D52" s="19" t="s">
        <v>112</v>
      </c>
      <c r="E52" s="19">
        <v>41485</v>
      </c>
      <c r="F52" s="79">
        <v>4650.72</v>
      </c>
      <c r="G52" s="79">
        <v>697.61</v>
      </c>
      <c r="H52" s="79">
        <v>4650.72</v>
      </c>
      <c r="I52" s="79">
        <v>697.61</v>
      </c>
      <c r="J52" s="79"/>
      <c r="K52" s="5">
        <f>G52-I52</f>
        <v>0</v>
      </c>
      <c r="L52" s="18"/>
      <c r="M52" s="18"/>
      <c r="N52" s="26"/>
      <c r="O52" s="80">
        <f t="shared" si="0"/>
        <v>-3.4106051316484809E-13</v>
      </c>
    </row>
    <row r="53" spans="1:15" x14ac:dyDescent="0.25">
      <c r="A53" s="27"/>
      <c r="B53" s="3" t="s">
        <v>133</v>
      </c>
      <c r="C53" s="23" t="s">
        <v>15</v>
      </c>
      <c r="D53" s="19" t="s">
        <v>114</v>
      </c>
      <c r="E53" s="19">
        <v>41582</v>
      </c>
      <c r="F53" s="79">
        <v>8179.23</v>
      </c>
      <c r="G53" s="79">
        <v>1179.51</v>
      </c>
      <c r="H53" s="79">
        <v>8179.23</v>
      </c>
      <c r="I53" s="79">
        <v>1179.51</v>
      </c>
      <c r="J53" s="79"/>
      <c r="K53" s="5"/>
      <c r="L53" s="18"/>
      <c r="M53" s="18"/>
      <c r="N53" s="26"/>
      <c r="O53" s="80">
        <f t="shared" si="0"/>
        <v>2.2737367544323206E-13</v>
      </c>
    </row>
    <row r="54" spans="1:15" x14ac:dyDescent="0.25">
      <c r="A54" s="27"/>
      <c r="B54" s="3" t="s">
        <v>82</v>
      </c>
      <c r="C54" s="23" t="s">
        <v>83</v>
      </c>
      <c r="D54" s="19" t="s">
        <v>114</v>
      </c>
      <c r="E54" s="19">
        <v>41578</v>
      </c>
      <c r="F54" s="79">
        <v>2384.0300000000002</v>
      </c>
      <c r="G54" s="79">
        <v>762.13</v>
      </c>
      <c r="H54" s="79">
        <v>2384.0300000000002</v>
      </c>
      <c r="I54" s="79">
        <v>762.23</v>
      </c>
      <c r="J54" s="79"/>
      <c r="K54" s="5">
        <f>G54-I54</f>
        <v>-0.10000000000002274</v>
      </c>
      <c r="L54" s="18"/>
      <c r="M54" s="18"/>
      <c r="N54" s="26"/>
      <c r="O54" s="80">
        <f t="shared" si="0"/>
        <v>1.1368683772161603E-13</v>
      </c>
    </row>
    <row r="55" spans="1:15" x14ac:dyDescent="0.25">
      <c r="A55" s="27"/>
      <c r="B55" s="3" t="s">
        <v>61</v>
      </c>
      <c r="C55" s="23" t="s">
        <v>62</v>
      </c>
      <c r="D55" s="19" t="s">
        <v>112</v>
      </c>
      <c r="E55" s="19">
        <v>41577</v>
      </c>
      <c r="F55" s="79">
        <v>81211.95</v>
      </c>
      <c r="G55" s="79">
        <v>3529.74</v>
      </c>
      <c r="H55" s="79">
        <v>81211.95</v>
      </c>
      <c r="I55" s="79">
        <v>3529.74</v>
      </c>
      <c r="J55" s="79"/>
      <c r="K55" s="5"/>
      <c r="L55" s="18"/>
      <c r="M55" s="18"/>
      <c r="N55" s="26"/>
      <c r="O55" s="80">
        <f t="shared" si="0"/>
        <v>5.4569682106375694E-12</v>
      </c>
    </row>
    <row r="56" spans="1:15" x14ac:dyDescent="0.25">
      <c r="A56" s="27"/>
      <c r="B56" s="3" t="s">
        <v>89</v>
      </c>
      <c r="C56" s="23" t="s">
        <v>97</v>
      </c>
      <c r="D56" s="19" t="s">
        <v>112</v>
      </c>
      <c r="E56" s="19">
        <v>41576</v>
      </c>
      <c r="F56" s="79">
        <v>7195</v>
      </c>
      <c r="G56" s="79">
        <v>0</v>
      </c>
      <c r="H56" s="79">
        <v>7195</v>
      </c>
      <c r="I56" s="79">
        <v>0</v>
      </c>
      <c r="J56" s="79"/>
      <c r="K56" s="5"/>
      <c r="L56" s="18"/>
      <c r="M56" s="18"/>
      <c r="N56" s="26"/>
      <c r="O56" s="80">
        <f t="shared" si="0"/>
        <v>0</v>
      </c>
    </row>
    <row r="57" spans="1:15" x14ac:dyDescent="0.25">
      <c r="A57" s="27"/>
      <c r="B57" s="3" t="s">
        <v>69</v>
      </c>
      <c r="C57" s="23" t="s">
        <v>70</v>
      </c>
      <c r="D57" s="19" t="s">
        <v>112</v>
      </c>
      <c r="E57" s="19">
        <v>41578</v>
      </c>
      <c r="F57" s="79">
        <v>0</v>
      </c>
      <c r="G57" s="79">
        <v>2547.39</v>
      </c>
      <c r="H57" s="79"/>
      <c r="I57" s="79">
        <v>2547.39</v>
      </c>
      <c r="J57" s="79"/>
      <c r="K57" s="5"/>
      <c r="L57" s="18"/>
      <c r="M57" s="18"/>
      <c r="N57" s="26"/>
      <c r="O57" s="80">
        <f t="shared" si="0"/>
        <v>0</v>
      </c>
    </row>
    <row r="58" spans="1:15" x14ac:dyDescent="0.25">
      <c r="A58" s="27"/>
      <c r="B58" s="3" t="s">
        <v>43</v>
      </c>
      <c r="C58" s="23" t="s">
        <v>44</v>
      </c>
      <c r="D58" s="19" t="s">
        <v>112</v>
      </c>
      <c r="E58" s="19">
        <v>41578</v>
      </c>
      <c r="F58" s="79">
        <v>61096.59</v>
      </c>
      <c r="G58" s="79">
        <v>0</v>
      </c>
      <c r="H58" s="79">
        <v>61096.59</v>
      </c>
      <c r="I58" s="79">
        <v>0</v>
      </c>
      <c r="J58" s="79"/>
      <c r="K58" s="5"/>
      <c r="L58" s="18"/>
      <c r="M58" s="18"/>
      <c r="N58" s="26"/>
      <c r="O58" s="80">
        <f t="shared" si="0"/>
        <v>0</v>
      </c>
    </row>
    <row r="59" spans="1:15" x14ac:dyDescent="0.25">
      <c r="A59" s="27"/>
      <c r="B59" s="3" t="s">
        <v>71</v>
      </c>
      <c r="C59" s="23" t="s">
        <v>72</v>
      </c>
      <c r="D59" s="19" t="s">
        <v>112</v>
      </c>
      <c r="E59" s="19">
        <v>41582</v>
      </c>
      <c r="F59" s="79">
        <v>38441.17</v>
      </c>
      <c r="G59" s="79">
        <v>9828.51</v>
      </c>
      <c r="H59" s="79">
        <v>38441.17</v>
      </c>
      <c r="I59" s="79">
        <v>9828.51</v>
      </c>
      <c r="J59" s="79"/>
      <c r="K59" s="5"/>
      <c r="L59" s="18"/>
      <c r="M59" s="18"/>
      <c r="N59" s="26"/>
      <c r="O59" s="80">
        <f t="shared" si="0"/>
        <v>1.8189894035458565E-12</v>
      </c>
    </row>
    <row r="60" spans="1:15" x14ac:dyDescent="0.25">
      <c r="A60" s="27"/>
      <c r="B60" s="3" t="s">
        <v>57</v>
      </c>
      <c r="C60" s="23" t="s">
        <v>58</v>
      </c>
      <c r="D60" s="19" t="s">
        <v>112</v>
      </c>
      <c r="E60" s="19">
        <v>41578</v>
      </c>
      <c r="F60" s="79">
        <v>38479.72</v>
      </c>
      <c r="G60" s="79">
        <v>1490.58</v>
      </c>
      <c r="H60" s="79">
        <v>38479.72</v>
      </c>
      <c r="I60" s="79">
        <v>1490.58</v>
      </c>
      <c r="J60" s="79"/>
      <c r="K60" s="5"/>
      <c r="L60" s="18"/>
      <c r="M60" s="18"/>
      <c r="N60" s="26"/>
      <c r="O60" s="80">
        <f t="shared" si="0"/>
        <v>1.8189894035458565E-12</v>
      </c>
    </row>
    <row r="61" spans="1:15" x14ac:dyDescent="0.25">
      <c r="A61" s="27"/>
      <c r="B61" s="3" t="s">
        <v>75</v>
      </c>
      <c r="C61" s="23" t="s">
        <v>76</v>
      </c>
      <c r="D61" s="19" t="s">
        <v>112</v>
      </c>
      <c r="E61" s="19">
        <v>41583</v>
      </c>
      <c r="F61" s="79">
        <v>16342.88</v>
      </c>
      <c r="G61" s="79">
        <v>2451.4299999999998</v>
      </c>
      <c r="H61" s="79">
        <v>16342.88</v>
      </c>
      <c r="I61" s="79">
        <v>2451.4299999999998</v>
      </c>
      <c r="J61" s="79"/>
      <c r="K61" s="5"/>
      <c r="L61" s="18"/>
      <c r="M61" s="18"/>
      <c r="N61" s="26"/>
      <c r="O61" s="80">
        <f t="shared" si="0"/>
        <v>-1.3642420526593924E-12</v>
      </c>
    </row>
    <row r="62" spans="1:15" x14ac:dyDescent="0.25">
      <c r="A62" s="27"/>
      <c r="B62" s="3" t="s">
        <v>73</v>
      </c>
      <c r="C62" s="23" t="s">
        <v>74</v>
      </c>
      <c r="D62" s="19" t="s">
        <v>114</v>
      </c>
      <c r="E62" s="19">
        <v>41579</v>
      </c>
      <c r="F62" s="79">
        <v>17430.25</v>
      </c>
      <c r="G62" s="79">
        <v>217.29</v>
      </c>
      <c r="H62" s="79">
        <v>17430.25</v>
      </c>
      <c r="I62" s="79">
        <v>217.29</v>
      </c>
      <c r="J62" s="79"/>
      <c r="K62" s="5"/>
      <c r="L62" s="18"/>
      <c r="M62" s="18"/>
      <c r="N62" s="26"/>
      <c r="O62" s="80">
        <f t="shared" si="0"/>
        <v>8.8107299234252423E-13</v>
      </c>
    </row>
    <row r="63" spans="1:15" x14ac:dyDescent="0.25">
      <c r="A63" s="27"/>
      <c r="B63" s="3" t="s">
        <v>148</v>
      </c>
      <c r="C63" s="23" t="s">
        <v>94</v>
      </c>
      <c r="D63" s="19" t="s">
        <v>114</v>
      </c>
      <c r="E63" s="19">
        <v>41578</v>
      </c>
      <c r="F63" s="79">
        <v>1875</v>
      </c>
      <c r="G63" s="79">
        <v>3823.32</v>
      </c>
      <c r="H63" s="79"/>
      <c r="I63" s="79"/>
      <c r="J63" s="79"/>
      <c r="K63" s="5"/>
      <c r="L63" s="18"/>
      <c r="M63" s="18"/>
      <c r="N63" s="26">
        <v>5698.32</v>
      </c>
      <c r="O63" s="80">
        <f t="shared" si="0"/>
        <v>0</v>
      </c>
    </row>
    <row r="64" spans="1:15" x14ac:dyDescent="0.25">
      <c r="A64" s="27"/>
      <c r="B64" s="3" t="s">
        <v>12</v>
      </c>
      <c r="C64" s="23" t="s">
        <v>13</v>
      </c>
      <c r="D64" s="19" t="s">
        <v>137</v>
      </c>
      <c r="E64" s="19">
        <v>41592</v>
      </c>
      <c r="F64" s="79">
        <v>28157.81</v>
      </c>
      <c r="G64" s="79">
        <v>3710.96</v>
      </c>
      <c r="H64" s="79">
        <v>28157.81</v>
      </c>
      <c r="I64" s="79">
        <v>3710.96</v>
      </c>
      <c r="J64" s="79"/>
      <c r="K64" s="5"/>
      <c r="L64" s="18"/>
      <c r="M64" s="18"/>
      <c r="N64" s="26"/>
      <c r="O64" s="80">
        <f t="shared" si="0"/>
        <v>-9.0949470177292824E-13</v>
      </c>
    </row>
    <row r="65" spans="1:15" x14ac:dyDescent="0.25">
      <c r="A65" s="27"/>
      <c r="B65" s="3" t="s">
        <v>51</v>
      </c>
      <c r="C65" s="23" t="s">
        <v>52</v>
      </c>
      <c r="D65" s="19" t="s">
        <v>137</v>
      </c>
      <c r="E65" s="19">
        <v>41592</v>
      </c>
      <c r="F65" s="79">
        <v>7816.33</v>
      </c>
      <c r="G65" s="79">
        <v>1503.27</v>
      </c>
      <c r="H65" s="79">
        <v>7816.33</v>
      </c>
      <c r="I65" s="79">
        <v>1172.45</v>
      </c>
      <c r="J65" s="79"/>
      <c r="K65" s="5">
        <f>G65-I65</f>
        <v>330.81999999999994</v>
      </c>
      <c r="L65" s="18"/>
      <c r="M65" s="18"/>
      <c r="N65" s="26"/>
      <c r="O65" s="80">
        <f t="shared" si="0"/>
        <v>4.5474735088646412E-13</v>
      </c>
    </row>
    <row r="66" spans="1:15" x14ac:dyDescent="0.25">
      <c r="A66" s="27"/>
      <c r="B66" s="3" t="s">
        <v>73</v>
      </c>
      <c r="C66" s="23" t="s">
        <v>74</v>
      </c>
      <c r="D66" s="19" t="s">
        <v>137</v>
      </c>
      <c r="E66" s="19">
        <v>41600</v>
      </c>
      <c r="F66" s="79">
        <v>5039.43</v>
      </c>
      <c r="G66" s="79">
        <v>187.56</v>
      </c>
      <c r="H66" s="79">
        <v>5039.43</v>
      </c>
      <c r="I66" s="79">
        <v>187.56</v>
      </c>
      <c r="J66" s="79"/>
      <c r="K66" s="5"/>
      <c r="L66" s="18"/>
      <c r="M66" s="18"/>
      <c r="N66" s="26"/>
      <c r="O66" s="80">
        <f t="shared" si="0"/>
        <v>3.979039320256561E-13</v>
      </c>
    </row>
    <row r="67" spans="1:15" x14ac:dyDescent="0.25">
      <c r="A67" s="27"/>
      <c r="B67" s="3" t="s">
        <v>133</v>
      </c>
      <c r="C67" s="23" t="s">
        <v>15</v>
      </c>
      <c r="D67" s="19" t="s">
        <v>137</v>
      </c>
      <c r="E67" s="19">
        <v>41604</v>
      </c>
      <c r="F67" s="79">
        <v>14991.16</v>
      </c>
      <c r="G67" s="79">
        <v>2326.7600000000002</v>
      </c>
      <c r="H67" s="79">
        <v>14991.16</v>
      </c>
      <c r="I67" s="79">
        <v>2326.7600000000002</v>
      </c>
      <c r="J67" s="79"/>
      <c r="K67" s="5"/>
      <c r="L67" s="18"/>
      <c r="M67" s="18"/>
      <c r="N67" s="26"/>
      <c r="O67" s="80">
        <f t="shared" si="0"/>
        <v>-1.8189894035458565E-12</v>
      </c>
    </row>
    <row r="68" spans="1:15" x14ac:dyDescent="0.25">
      <c r="A68" s="27"/>
      <c r="B68" s="3" t="s">
        <v>53</v>
      </c>
      <c r="C68" s="23" t="s">
        <v>54</v>
      </c>
      <c r="D68" s="19" t="s">
        <v>137</v>
      </c>
      <c r="E68" s="19">
        <v>41605</v>
      </c>
      <c r="F68" s="79">
        <v>5887.58</v>
      </c>
      <c r="G68" s="79">
        <v>844.43</v>
      </c>
      <c r="H68" s="79">
        <v>5887.58</v>
      </c>
      <c r="I68" s="79">
        <v>844.43</v>
      </c>
      <c r="J68" s="79"/>
      <c r="K68" s="5"/>
      <c r="L68" s="18"/>
      <c r="M68" s="18"/>
      <c r="N68" s="26"/>
      <c r="O68" s="80">
        <f t="shared" si="0"/>
        <v>3.4106051316484809E-13</v>
      </c>
    </row>
    <row r="69" spans="1:15" x14ac:dyDescent="0.25">
      <c r="A69" s="27"/>
      <c r="B69" s="3" t="s">
        <v>20</v>
      </c>
      <c r="C69" s="23" t="s">
        <v>21</v>
      </c>
      <c r="D69" s="19" t="s">
        <v>137</v>
      </c>
      <c r="E69" s="19">
        <v>41610</v>
      </c>
      <c r="F69" s="79">
        <v>32224.2</v>
      </c>
      <c r="G69" s="79">
        <v>13392</v>
      </c>
      <c r="H69" s="79">
        <v>32224.2</v>
      </c>
      <c r="I69" s="79">
        <v>4833.63</v>
      </c>
      <c r="J69" s="79"/>
      <c r="K69" s="5">
        <f t="shared" ref="K69:K75" si="3">G69-I69</f>
        <v>8558.369999999999</v>
      </c>
      <c r="L69" s="18"/>
      <c r="M69" s="18"/>
      <c r="N69" s="26"/>
      <c r="O69" s="80">
        <f t="shared" ref="O69:O132" si="4">(F69+G69)-H69-I69-J69-K69-L69-M69-N69</f>
        <v>-3.637978807091713E-12</v>
      </c>
    </row>
    <row r="70" spans="1:15" x14ac:dyDescent="0.25">
      <c r="A70" s="27"/>
      <c r="B70" s="3" t="s">
        <v>55</v>
      </c>
      <c r="C70" s="23" t="s">
        <v>56</v>
      </c>
      <c r="D70" s="19" t="s">
        <v>112</v>
      </c>
      <c r="E70" s="19">
        <v>41613</v>
      </c>
      <c r="F70" s="79">
        <v>160003.49</v>
      </c>
      <c r="G70" s="79">
        <v>40247.879999999997</v>
      </c>
      <c r="H70" s="79">
        <v>160003.49</v>
      </c>
      <c r="I70" s="79">
        <v>40247.879999999997</v>
      </c>
      <c r="J70" s="79"/>
      <c r="K70" s="5">
        <f t="shared" si="3"/>
        <v>0</v>
      </c>
      <c r="L70" s="18"/>
      <c r="M70" s="18"/>
      <c r="N70" s="26"/>
      <c r="O70" s="80">
        <f t="shared" si="4"/>
        <v>7.2759576141834259E-12</v>
      </c>
    </row>
    <row r="71" spans="1:15" x14ac:dyDescent="0.25">
      <c r="A71" s="27"/>
      <c r="B71" s="3" t="s">
        <v>82</v>
      </c>
      <c r="C71" s="23" t="s">
        <v>83</v>
      </c>
      <c r="D71" s="19" t="s">
        <v>137</v>
      </c>
      <c r="E71" s="19">
        <v>41614</v>
      </c>
      <c r="F71" s="79">
        <v>2895.7</v>
      </c>
      <c r="G71" s="79">
        <v>871</v>
      </c>
      <c r="H71" s="79">
        <v>2895.7</v>
      </c>
      <c r="I71" s="79">
        <v>871</v>
      </c>
      <c r="J71" s="79"/>
      <c r="K71" s="5">
        <f t="shared" si="3"/>
        <v>0</v>
      </c>
      <c r="L71" s="18"/>
      <c r="M71" s="18"/>
      <c r="N71" s="26"/>
      <c r="O71" s="80">
        <f t="shared" si="4"/>
        <v>0</v>
      </c>
    </row>
    <row r="72" spans="1:15" x14ac:dyDescent="0.25">
      <c r="A72" s="27"/>
      <c r="B72" s="3" t="s">
        <v>51</v>
      </c>
      <c r="C72" s="23" t="s">
        <v>52</v>
      </c>
      <c r="D72" s="19" t="s">
        <v>138</v>
      </c>
      <c r="E72" s="19">
        <v>41620</v>
      </c>
      <c r="F72" s="79">
        <v>2462.4899999999998</v>
      </c>
      <c r="G72" s="79">
        <v>504</v>
      </c>
      <c r="H72" s="79">
        <v>2462.4899999999998</v>
      </c>
      <c r="I72" s="79">
        <v>369.37</v>
      </c>
      <c r="J72" s="79"/>
      <c r="K72" s="5">
        <f t="shared" si="3"/>
        <v>134.63</v>
      </c>
      <c r="L72" s="18"/>
      <c r="M72" s="18"/>
      <c r="N72" s="26"/>
      <c r="O72" s="80">
        <f t="shared" si="4"/>
        <v>0</v>
      </c>
    </row>
    <row r="73" spans="1:15" x14ac:dyDescent="0.25">
      <c r="A73" s="27"/>
      <c r="B73" s="3" t="s">
        <v>53</v>
      </c>
      <c r="C73" s="23" t="s">
        <v>54</v>
      </c>
      <c r="D73" s="19" t="s">
        <v>138</v>
      </c>
      <c r="E73" s="19">
        <v>41626</v>
      </c>
      <c r="F73" s="79">
        <v>22607.55</v>
      </c>
      <c r="G73" s="79">
        <v>5470.73</v>
      </c>
      <c r="H73" s="79">
        <v>22607.55</v>
      </c>
      <c r="I73" s="79">
        <v>5470.73</v>
      </c>
      <c r="J73" s="79"/>
      <c r="K73" s="5"/>
      <c r="L73" s="18"/>
      <c r="M73" s="18"/>
      <c r="N73" s="26"/>
      <c r="O73" s="80">
        <f t="shared" si="4"/>
        <v>0</v>
      </c>
    </row>
    <row r="74" spans="1:15" x14ac:dyDescent="0.25">
      <c r="A74" s="27"/>
      <c r="B74" s="3" t="s">
        <v>133</v>
      </c>
      <c r="C74" s="23" t="s">
        <v>15</v>
      </c>
      <c r="D74" s="19" t="s">
        <v>138</v>
      </c>
      <c r="E74" s="19">
        <v>41638</v>
      </c>
      <c r="F74" s="79">
        <v>9999</v>
      </c>
      <c r="G74" s="79">
        <v>1691.03</v>
      </c>
      <c r="H74" s="79">
        <v>9999</v>
      </c>
      <c r="I74" s="79">
        <v>1691.03</v>
      </c>
      <c r="J74" s="79"/>
      <c r="K74" s="5"/>
      <c r="L74" s="18"/>
      <c r="M74" s="18"/>
      <c r="N74" s="26"/>
      <c r="O74" s="80">
        <f t="shared" si="4"/>
        <v>6.8212102632969618E-13</v>
      </c>
    </row>
    <row r="75" spans="1:15" x14ac:dyDescent="0.25">
      <c r="A75" s="27"/>
      <c r="B75" s="3" t="s">
        <v>20</v>
      </c>
      <c r="C75" s="23" t="s">
        <v>21</v>
      </c>
      <c r="D75" s="19" t="s">
        <v>138</v>
      </c>
      <c r="E75" s="19">
        <v>41638</v>
      </c>
      <c r="F75" s="79">
        <v>39682.75</v>
      </c>
      <c r="G75" s="79">
        <v>10881</v>
      </c>
      <c r="H75" s="79">
        <v>39682.75</v>
      </c>
      <c r="I75" s="79">
        <v>5952.41</v>
      </c>
      <c r="J75" s="79"/>
      <c r="K75" s="5">
        <f t="shared" si="3"/>
        <v>4928.59</v>
      </c>
      <c r="L75" s="18"/>
      <c r="M75" s="18"/>
      <c r="N75" s="26"/>
      <c r="O75" s="80">
        <f t="shared" si="4"/>
        <v>0</v>
      </c>
    </row>
    <row r="76" spans="1:15" x14ac:dyDescent="0.25">
      <c r="A76" s="27"/>
      <c r="B76" s="3" t="s">
        <v>73</v>
      </c>
      <c r="C76" s="23" t="s">
        <v>74</v>
      </c>
      <c r="D76" s="19" t="s">
        <v>138</v>
      </c>
      <c r="E76" s="19">
        <v>41638</v>
      </c>
      <c r="F76" s="79">
        <v>220.02</v>
      </c>
      <c r="G76" s="79">
        <v>655.45</v>
      </c>
      <c r="H76" s="79">
        <v>220.02</v>
      </c>
      <c r="I76" s="79">
        <v>655.45</v>
      </c>
      <c r="J76" s="79"/>
      <c r="K76" s="5"/>
      <c r="L76" s="18"/>
      <c r="M76" s="18"/>
      <c r="N76" s="26"/>
      <c r="O76" s="80">
        <f t="shared" si="4"/>
        <v>0</v>
      </c>
    </row>
    <row r="77" spans="1:15" x14ac:dyDescent="0.25">
      <c r="A77" s="27"/>
      <c r="B77" s="3" t="s">
        <v>16</v>
      </c>
      <c r="C77" s="23" t="s">
        <v>17</v>
      </c>
      <c r="D77" s="19" t="s">
        <v>138</v>
      </c>
      <c r="E77" s="19">
        <v>41631</v>
      </c>
      <c r="F77" s="79">
        <v>11911.78</v>
      </c>
      <c r="G77" s="79">
        <v>681.42</v>
      </c>
      <c r="H77" s="79">
        <v>11911.78</v>
      </c>
      <c r="I77" s="79">
        <v>681.42</v>
      </c>
      <c r="J77" s="79"/>
      <c r="K77" s="5">
        <v>0</v>
      </c>
      <c r="L77" s="18"/>
      <c r="M77" s="18"/>
      <c r="N77" s="26"/>
      <c r="O77" s="80">
        <f t="shared" si="4"/>
        <v>1.1368683772161603E-13</v>
      </c>
    </row>
    <row r="78" spans="1:15" x14ac:dyDescent="0.25">
      <c r="A78" s="27"/>
      <c r="B78" s="3" t="s">
        <v>82</v>
      </c>
      <c r="C78" s="23" t="s">
        <v>83</v>
      </c>
      <c r="D78" s="19" t="s">
        <v>138</v>
      </c>
      <c r="E78" s="19">
        <v>41638</v>
      </c>
      <c r="F78" s="79">
        <v>21454.95</v>
      </c>
      <c r="G78" s="79">
        <v>3218.24</v>
      </c>
      <c r="H78" s="79">
        <v>21454.95</v>
      </c>
      <c r="I78" s="79">
        <v>3218.24</v>
      </c>
      <c r="J78" s="79"/>
      <c r="K78" s="5"/>
      <c r="L78" s="18"/>
      <c r="M78" s="18"/>
      <c r="N78" s="26"/>
      <c r="O78" s="80">
        <f t="shared" si="4"/>
        <v>1.8189894035458565E-12</v>
      </c>
    </row>
    <row r="79" spans="1:15" x14ac:dyDescent="0.25">
      <c r="A79" s="27"/>
      <c r="B79" s="3" t="s">
        <v>12</v>
      </c>
      <c r="C79" s="23" t="s">
        <v>13</v>
      </c>
      <c r="D79" s="19" t="s">
        <v>138</v>
      </c>
      <c r="E79" s="19">
        <v>41638</v>
      </c>
      <c r="F79" s="79">
        <v>81679.929999999993</v>
      </c>
      <c r="G79" s="79">
        <v>4253.03</v>
      </c>
      <c r="H79" s="79">
        <v>81679.929999999993</v>
      </c>
      <c r="I79" s="79">
        <v>4253.03</v>
      </c>
      <c r="J79" s="79"/>
      <c r="K79" s="5"/>
      <c r="L79" s="18"/>
      <c r="M79" s="18"/>
      <c r="N79" s="26"/>
      <c r="O79" s="80">
        <f t="shared" si="4"/>
        <v>-9.0949470177292824E-13</v>
      </c>
    </row>
    <row r="80" spans="1:15" x14ac:dyDescent="0.25">
      <c r="A80" s="27"/>
      <c r="B80" s="3" t="s">
        <v>16</v>
      </c>
      <c r="C80" s="23" t="s">
        <v>17</v>
      </c>
      <c r="D80" s="19" t="s">
        <v>139</v>
      </c>
      <c r="E80" s="19">
        <v>41638</v>
      </c>
      <c r="F80" s="79">
        <v>9258.2000000000007</v>
      </c>
      <c r="G80" s="79">
        <v>2433.35</v>
      </c>
      <c r="H80" s="79">
        <v>9258.2000000000007</v>
      </c>
      <c r="I80" s="79">
        <v>2305</v>
      </c>
      <c r="J80" s="79"/>
      <c r="K80" s="5">
        <f>G80-I80</f>
        <v>128.34999999999991</v>
      </c>
      <c r="L80" s="18"/>
      <c r="M80" s="18"/>
      <c r="N80" s="26"/>
      <c r="O80" s="80">
        <f t="shared" si="4"/>
        <v>4.5474735088646412E-13</v>
      </c>
    </row>
    <row r="81" spans="1:15" x14ac:dyDescent="0.25">
      <c r="A81" s="27"/>
      <c r="B81" s="3" t="s">
        <v>16</v>
      </c>
      <c r="C81" s="23" t="s">
        <v>17</v>
      </c>
      <c r="D81" s="19" t="s">
        <v>137</v>
      </c>
      <c r="E81" s="19">
        <v>41646</v>
      </c>
      <c r="F81" s="79">
        <v>5035.3100000000004</v>
      </c>
      <c r="G81" s="79">
        <v>661.8</v>
      </c>
      <c r="H81" s="79">
        <v>5035.3100000000004</v>
      </c>
      <c r="I81" s="79">
        <v>661.8</v>
      </c>
      <c r="J81" s="79"/>
      <c r="K81" s="5">
        <v>0</v>
      </c>
      <c r="L81" s="18"/>
      <c r="M81" s="18"/>
      <c r="N81" s="26"/>
      <c r="O81" s="80">
        <f t="shared" si="4"/>
        <v>2.2737367544323206E-13</v>
      </c>
    </row>
    <row r="82" spans="1:15" x14ac:dyDescent="0.25">
      <c r="A82" s="27"/>
      <c r="B82" s="3" t="s">
        <v>43</v>
      </c>
      <c r="C82" s="23" t="s">
        <v>44</v>
      </c>
      <c r="D82" s="19" t="s">
        <v>111</v>
      </c>
      <c r="E82" s="19">
        <v>41653</v>
      </c>
      <c r="F82" s="79">
        <v>26958.959999999999</v>
      </c>
      <c r="G82" s="79">
        <v>0</v>
      </c>
      <c r="H82" s="79">
        <v>26958.959999999999</v>
      </c>
      <c r="I82" s="79">
        <v>0</v>
      </c>
      <c r="J82" s="79"/>
      <c r="K82" s="5"/>
      <c r="L82" s="18"/>
      <c r="M82" s="18"/>
      <c r="N82" s="26"/>
      <c r="O82" s="80">
        <f t="shared" si="4"/>
        <v>0</v>
      </c>
    </row>
    <row r="83" spans="1:15" x14ac:dyDescent="0.25">
      <c r="A83" s="27"/>
      <c r="B83" s="3" t="s">
        <v>80</v>
      </c>
      <c r="C83" s="23" t="s">
        <v>81</v>
      </c>
      <c r="D83" s="19" t="s">
        <v>111</v>
      </c>
      <c r="E83" s="19">
        <v>41654</v>
      </c>
      <c r="F83" s="79">
        <v>42291.1</v>
      </c>
      <c r="G83" s="79">
        <v>7195.11</v>
      </c>
      <c r="H83" s="79">
        <v>42291.1</v>
      </c>
      <c r="I83" s="79">
        <v>7195.11</v>
      </c>
      <c r="J83" s="79"/>
      <c r="K83" s="5">
        <f>G83-I83</f>
        <v>0</v>
      </c>
      <c r="L83" s="18"/>
      <c r="M83" s="18"/>
      <c r="N83" s="26"/>
      <c r="O83" s="80">
        <f t="shared" si="4"/>
        <v>9.0949470177292824E-13</v>
      </c>
    </row>
    <row r="84" spans="1:15" x14ac:dyDescent="0.25">
      <c r="A84" s="27"/>
      <c r="B84" s="3" t="s">
        <v>12</v>
      </c>
      <c r="C84" s="23" t="s">
        <v>13</v>
      </c>
      <c r="D84" s="19" t="s">
        <v>139</v>
      </c>
      <c r="E84" s="19">
        <v>41656</v>
      </c>
      <c r="F84" s="79">
        <v>35543.93</v>
      </c>
      <c r="G84" s="79">
        <v>3719.6</v>
      </c>
      <c r="H84" s="79">
        <v>35543.93</v>
      </c>
      <c r="I84" s="79">
        <v>3719.6</v>
      </c>
      <c r="J84" s="79"/>
      <c r="K84" s="5"/>
      <c r="L84" s="18"/>
      <c r="M84" s="18"/>
      <c r="N84" s="26"/>
      <c r="O84" s="80">
        <f t="shared" si="4"/>
        <v>-1.3642420526593924E-12</v>
      </c>
    </row>
    <row r="85" spans="1:15" x14ac:dyDescent="0.25">
      <c r="A85" s="27"/>
      <c r="B85" s="3" t="s">
        <v>35</v>
      </c>
      <c r="C85" s="23" t="s">
        <v>36</v>
      </c>
      <c r="D85" s="19" t="s">
        <v>111</v>
      </c>
      <c r="E85" s="19">
        <v>41656</v>
      </c>
      <c r="F85" s="79">
        <v>6601.96</v>
      </c>
      <c r="G85" s="79">
        <v>1178.43</v>
      </c>
      <c r="H85" s="79">
        <v>6601.96</v>
      </c>
      <c r="I85" s="79">
        <v>1178.43</v>
      </c>
      <c r="J85" s="79"/>
      <c r="K85" s="5">
        <f>G85-I85</f>
        <v>0</v>
      </c>
      <c r="L85" s="18"/>
      <c r="M85" s="18"/>
      <c r="N85" s="26"/>
      <c r="O85" s="80">
        <f t="shared" si="4"/>
        <v>2.2737367544323206E-13</v>
      </c>
    </row>
    <row r="86" spans="1:15" x14ac:dyDescent="0.25">
      <c r="A86" s="27"/>
      <c r="B86" s="3" t="s">
        <v>148</v>
      </c>
      <c r="C86" s="23" t="s">
        <v>94</v>
      </c>
      <c r="D86" s="19" t="s">
        <v>111</v>
      </c>
      <c r="E86" s="19">
        <v>41655</v>
      </c>
      <c r="F86" s="79">
        <v>1875</v>
      </c>
      <c r="G86" s="79">
        <v>2142.79</v>
      </c>
      <c r="H86" s="79">
        <v>1875</v>
      </c>
      <c r="I86" s="79">
        <v>524.73</v>
      </c>
      <c r="J86" s="79"/>
      <c r="K86" s="5">
        <f>G86-I86</f>
        <v>1618.06</v>
      </c>
      <c r="L86" s="18"/>
      <c r="M86" s="18"/>
      <c r="N86" s="26"/>
      <c r="O86" s="80">
        <f t="shared" si="4"/>
        <v>0</v>
      </c>
    </row>
    <row r="87" spans="1:15" x14ac:dyDescent="0.25">
      <c r="A87" s="27"/>
      <c r="B87" s="3" t="s">
        <v>148</v>
      </c>
      <c r="C87" s="23" t="s">
        <v>94</v>
      </c>
      <c r="D87" s="19" t="s">
        <v>112</v>
      </c>
      <c r="E87" s="19">
        <v>41656</v>
      </c>
      <c r="F87" s="79">
        <v>5815.7</v>
      </c>
      <c r="G87" s="79">
        <v>3823.32</v>
      </c>
      <c r="H87" s="79">
        <v>5815.7</v>
      </c>
      <c r="I87" s="79">
        <v>1127.97</v>
      </c>
      <c r="J87" s="79"/>
      <c r="K87" s="5">
        <f>G87-I87</f>
        <v>2695.3500000000004</v>
      </c>
      <c r="L87" s="18"/>
      <c r="M87" s="18"/>
      <c r="N87" s="26"/>
      <c r="O87" s="80">
        <f t="shared" si="4"/>
        <v>0</v>
      </c>
    </row>
    <row r="88" spans="1:15" x14ac:dyDescent="0.25">
      <c r="A88" s="27"/>
      <c r="B88" s="3" t="s">
        <v>69</v>
      </c>
      <c r="C88" s="23" t="s">
        <v>70</v>
      </c>
      <c r="D88" s="19" t="s">
        <v>111</v>
      </c>
      <c r="E88" s="19">
        <v>41656</v>
      </c>
      <c r="F88" s="79">
        <v>1522.56</v>
      </c>
      <c r="G88" s="79">
        <v>4202.29</v>
      </c>
      <c r="H88" s="79">
        <v>1522.56</v>
      </c>
      <c r="I88" s="79">
        <v>1546.46</v>
      </c>
      <c r="J88" s="79"/>
      <c r="K88" s="5">
        <f>G88-I88</f>
        <v>2655.83</v>
      </c>
      <c r="L88" s="18"/>
      <c r="M88" s="18"/>
      <c r="N88" s="26"/>
      <c r="O88" s="80">
        <f t="shared" si="4"/>
        <v>9.0949470177292824E-13</v>
      </c>
    </row>
    <row r="89" spans="1:15" x14ac:dyDescent="0.25">
      <c r="A89" s="27"/>
      <c r="B89" s="3" t="s">
        <v>51</v>
      </c>
      <c r="C89" s="23" t="s">
        <v>52</v>
      </c>
      <c r="D89" s="19" t="s">
        <v>139</v>
      </c>
      <c r="E89" s="19">
        <v>41660</v>
      </c>
      <c r="F89" s="79">
        <v>3590.25</v>
      </c>
      <c r="G89" s="79">
        <v>646.25</v>
      </c>
      <c r="H89" s="79">
        <v>3590.25</v>
      </c>
      <c r="I89" s="79">
        <v>538.54</v>
      </c>
      <c r="J89" s="79"/>
      <c r="K89" s="5">
        <f t="shared" ref="K89" si="5">G89-I89</f>
        <v>107.71000000000004</v>
      </c>
      <c r="L89" s="18"/>
      <c r="M89" s="18"/>
      <c r="N89" s="26"/>
      <c r="O89" s="80">
        <f t="shared" si="4"/>
        <v>0</v>
      </c>
    </row>
    <row r="90" spans="1:15" x14ac:dyDescent="0.25">
      <c r="A90" s="27"/>
      <c r="B90" s="3" t="s">
        <v>20</v>
      </c>
      <c r="C90" s="23" t="s">
        <v>21</v>
      </c>
      <c r="D90" s="19" t="s">
        <v>139</v>
      </c>
      <c r="E90" s="19">
        <v>41660</v>
      </c>
      <c r="F90" s="79">
        <v>24859.5</v>
      </c>
      <c r="G90" s="79">
        <v>7506</v>
      </c>
      <c r="H90" s="79">
        <v>24859.5</v>
      </c>
      <c r="I90" s="79">
        <v>3728.93</v>
      </c>
      <c r="J90" s="79"/>
      <c r="K90" s="5">
        <f t="shared" ref="K90" si="6">G90-I90</f>
        <v>3777.07</v>
      </c>
      <c r="L90" s="18"/>
      <c r="M90" s="18"/>
      <c r="N90" s="26"/>
      <c r="O90" s="80">
        <f t="shared" si="4"/>
        <v>0</v>
      </c>
    </row>
    <row r="91" spans="1:15" x14ac:dyDescent="0.25">
      <c r="A91" s="27"/>
      <c r="B91" s="3" t="s">
        <v>18</v>
      </c>
      <c r="C91" s="23" t="s">
        <v>19</v>
      </c>
      <c r="D91" s="19" t="s">
        <v>111</v>
      </c>
      <c r="E91" s="19">
        <v>41661</v>
      </c>
      <c r="F91" s="79">
        <v>17258.02</v>
      </c>
      <c r="G91" s="79">
        <v>2475</v>
      </c>
      <c r="H91" s="79">
        <v>17258.02</v>
      </c>
      <c r="I91" s="79">
        <v>2475</v>
      </c>
      <c r="J91" s="79"/>
      <c r="K91" s="5">
        <f>G91-I91</f>
        <v>0</v>
      </c>
      <c r="L91" s="18"/>
      <c r="M91" s="18"/>
      <c r="N91" s="26"/>
      <c r="O91" s="80">
        <f t="shared" si="4"/>
        <v>0</v>
      </c>
    </row>
    <row r="92" spans="1:15" x14ac:dyDescent="0.25">
      <c r="A92" s="27"/>
      <c r="B92" s="3" t="s">
        <v>134</v>
      </c>
      <c r="C92" s="23" t="s">
        <v>25</v>
      </c>
      <c r="D92" s="19" t="s">
        <v>111</v>
      </c>
      <c r="E92" s="19">
        <v>41661</v>
      </c>
      <c r="F92" s="79">
        <v>12985.91</v>
      </c>
      <c r="G92" s="79">
        <v>2400</v>
      </c>
      <c r="H92" s="79">
        <v>12985.91</v>
      </c>
      <c r="I92" s="79">
        <v>2400</v>
      </c>
      <c r="J92" s="79"/>
      <c r="K92" s="5">
        <f>G92-I92</f>
        <v>0</v>
      </c>
      <c r="L92" s="18"/>
      <c r="M92" s="18"/>
      <c r="N92" s="26"/>
      <c r="O92" s="80">
        <f t="shared" si="4"/>
        <v>0</v>
      </c>
    </row>
    <row r="93" spans="1:15" x14ac:dyDescent="0.25">
      <c r="A93" s="27"/>
      <c r="B93" s="3" t="s">
        <v>57</v>
      </c>
      <c r="C93" s="23" t="s">
        <v>58</v>
      </c>
      <c r="D93" s="19" t="s">
        <v>111</v>
      </c>
      <c r="E93" s="19">
        <v>41666</v>
      </c>
      <c r="F93" s="79">
        <v>39613.370000000003</v>
      </c>
      <c r="G93" s="79">
        <v>1921.95</v>
      </c>
      <c r="H93" s="79">
        <v>25048.04</v>
      </c>
      <c r="I93" s="79">
        <v>1921.95</v>
      </c>
      <c r="J93" s="79"/>
      <c r="K93" s="5"/>
      <c r="L93" s="18"/>
      <c r="M93" s="18"/>
      <c r="N93" s="26"/>
      <c r="O93" s="80">
        <f t="shared" si="4"/>
        <v>14565.329999999998</v>
      </c>
    </row>
    <row r="94" spans="1:15" x14ac:dyDescent="0.25">
      <c r="A94" s="27"/>
      <c r="B94" s="3" t="s">
        <v>133</v>
      </c>
      <c r="C94" s="23" t="s">
        <v>15</v>
      </c>
      <c r="D94" s="19" t="s">
        <v>139</v>
      </c>
      <c r="E94" s="19">
        <v>41666</v>
      </c>
      <c r="F94" s="79">
        <v>12022.04</v>
      </c>
      <c r="G94" s="79">
        <v>1694.81</v>
      </c>
      <c r="H94" s="79">
        <v>12022.04</v>
      </c>
      <c r="I94" s="79">
        <v>1694.81</v>
      </c>
      <c r="J94" s="79"/>
      <c r="K94" s="5"/>
      <c r="L94" s="18"/>
      <c r="M94" s="18"/>
      <c r="N94" s="26"/>
      <c r="O94" s="80">
        <f t="shared" si="4"/>
        <v>-4.5474735088646412E-13</v>
      </c>
    </row>
    <row r="95" spans="1:15" x14ac:dyDescent="0.25">
      <c r="A95" s="27"/>
      <c r="B95" s="3" t="s">
        <v>73</v>
      </c>
      <c r="C95" s="23" t="s">
        <v>74</v>
      </c>
      <c r="D95" s="19" t="s">
        <v>139</v>
      </c>
      <c r="E95" s="19">
        <v>41666</v>
      </c>
      <c r="F95" s="79">
        <v>76.17</v>
      </c>
      <c r="G95" s="79">
        <v>324.66000000000003</v>
      </c>
      <c r="H95" s="79">
        <v>76.17</v>
      </c>
      <c r="I95" s="79">
        <v>324.66000000000003</v>
      </c>
      <c r="J95" s="79"/>
      <c r="K95" s="5"/>
      <c r="L95" s="18"/>
      <c r="M95" s="18"/>
      <c r="N95" s="26"/>
      <c r="O95" s="80">
        <f t="shared" si="4"/>
        <v>0</v>
      </c>
    </row>
    <row r="96" spans="1:15" x14ac:dyDescent="0.25">
      <c r="A96" s="27"/>
      <c r="B96" s="3" t="s">
        <v>6</v>
      </c>
      <c r="C96" s="23" t="s">
        <v>32</v>
      </c>
      <c r="D96" s="19" t="s">
        <v>111</v>
      </c>
      <c r="E96" s="19">
        <v>41667</v>
      </c>
      <c r="F96" s="79">
        <v>29730.15</v>
      </c>
      <c r="G96" s="79">
        <v>4051.84</v>
      </c>
      <c r="H96" s="79">
        <v>29730.15</v>
      </c>
      <c r="I96" s="79">
        <v>4051.84</v>
      </c>
      <c r="J96" s="79"/>
      <c r="K96" s="5">
        <f>G96-I96</f>
        <v>0</v>
      </c>
      <c r="L96" s="18"/>
      <c r="M96" s="18"/>
      <c r="N96" s="26"/>
      <c r="O96" s="80">
        <f t="shared" si="4"/>
        <v>3.637978807091713E-12</v>
      </c>
    </row>
    <row r="97" spans="1:15" x14ac:dyDescent="0.25">
      <c r="A97" s="27"/>
      <c r="B97" s="3" t="s">
        <v>6</v>
      </c>
      <c r="C97" s="23" t="s">
        <v>11</v>
      </c>
      <c r="D97" s="19" t="s">
        <v>111</v>
      </c>
      <c r="E97" s="19">
        <v>41667</v>
      </c>
      <c r="F97" s="79">
        <v>95420.34</v>
      </c>
      <c r="G97" s="79">
        <v>19093.91</v>
      </c>
      <c r="H97" s="79">
        <v>95420.34</v>
      </c>
      <c r="I97" s="79">
        <v>14313.05</v>
      </c>
      <c r="J97" s="79"/>
      <c r="K97" s="5">
        <f t="shared" ref="K97" si="7">G97-I97</f>
        <v>4780.8600000000006</v>
      </c>
      <c r="L97" s="18"/>
      <c r="M97" s="18"/>
      <c r="N97" s="26"/>
      <c r="O97" s="80">
        <f t="shared" si="4"/>
        <v>3.637978807091713E-12</v>
      </c>
    </row>
    <row r="98" spans="1:15" x14ac:dyDescent="0.25">
      <c r="A98" s="27"/>
      <c r="B98" s="3" t="s">
        <v>6</v>
      </c>
      <c r="C98" s="23" t="s">
        <v>10</v>
      </c>
      <c r="D98" s="19" t="s">
        <v>111</v>
      </c>
      <c r="E98" s="19">
        <v>41667</v>
      </c>
      <c r="F98" s="79">
        <v>40537.89</v>
      </c>
      <c r="G98" s="79">
        <v>6841.63</v>
      </c>
      <c r="H98" s="79">
        <v>40537.89</v>
      </c>
      <c r="I98" s="79">
        <f>6080.68+524.35</f>
        <v>6605.0300000000007</v>
      </c>
      <c r="J98" s="79"/>
      <c r="K98" s="5">
        <f>G98-I98</f>
        <v>236.59999999999945</v>
      </c>
      <c r="L98" s="18"/>
      <c r="M98" s="18"/>
      <c r="N98" s="26"/>
      <c r="O98" s="80">
        <f t="shared" si="4"/>
        <v>-2.7284841053187847E-12</v>
      </c>
    </row>
    <row r="99" spans="1:15" x14ac:dyDescent="0.25">
      <c r="A99" s="27"/>
      <c r="B99" s="3" t="s">
        <v>6</v>
      </c>
      <c r="C99" s="23" t="s">
        <v>31</v>
      </c>
      <c r="D99" s="19" t="s">
        <v>111</v>
      </c>
      <c r="E99" s="19">
        <v>41667</v>
      </c>
      <c r="F99" s="79">
        <v>11633.5</v>
      </c>
      <c r="G99" s="79">
        <v>2620.04</v>
      </c>
      <c r="H99" s="79">
        <v>11633.5</v>
      </c>
      <c r="I99" s="79">
        <v>1745.03</v>
      </c>
      <c r="J99" s="79"/>
      <c r="K99" s="5">
        <f t="shared" ref="K99" si="8">G99-I99</f>
        <v>875.01</v>
      </c>
      <c r="L99" s="18"/>
      <c r="M99" s="18"/>
      <c r="N99" s="26"/>
      <c r="O99" s="80">
        <f t="shared" si="4"/>
        <v>9.0949470177292824E-13</v>
      </c>
    </row>
    <row r="100" spans="1:15" x14ac:dyDescent="0.25">
      <c r="A100" s="27"/>
      <c r="B100" s="3" t="s">
        <v>6</v>
      </c>
      <c r="C100" s="23" t="s">
        <v>33</v>
      </c>
      <c r="D100" s="19" t="s">
        <v>111</v>
      </c>
      <c r="E100" s="19">
        <v>41667</v>
      </c>
      <c r="F100" s="79">
        <v>6617.17</v>
      </c>
      <c r="G100" s="79">
        <v>3461.41</v>
      </c>
      <c r="H100" s="79">
        <v>6617.17</v>
      </c>
      <c r="I100" s="79">
        <v>992.58</v>
      </c>
      <c r="J100" s="79"/>
      <c r="K100" s="5">
        <f t="shared" ref="K100" si="9">G100-I100</f>
        <v>2468.83</v>
      </c>
      <c r="L100" s="18"/>
      <c r="M100" s="18"/>
      <c r="N100" s="26"/>
      <c r="O100" s="80">
        <f t="shared" si="4"/>
        <v>0</v>
      </c>
    </row>
    <row r="101" spans="1:15" x14ac:dyDescent="0.25">
      <c r="A101" s="27"/>
      <c r="B101" s="3" t="s">
        <v>6</v>
      </c>
      <c r="C101" s="23" t="s">
        <v>79</v>
      </c>
      <c r="D101" s="19" t="s">
        <v>111</v>
      </c>
      <c r="E101" s="19">
        <v>41667</v>
      </c>
      <c r="F101" s="79">
        <v>37350.44</v>
      </c>
      <c r="G101" s="79">
        <v>3948.51</v>
      </c>
      <c r="H101" s="79">
        <v>37350.44</v>
      </c>
      <c r="I101" s="79">
        <v>3948.51</v>
      </c>
      <c r="J101" s="79"/>
      <c r="K101" s="5">
        <f t="shared" ref="K101:K102" si="10">G101-I101</f>
        <v>0</v>
      </c>
      <c r="L101" s="18"/>
      <c r="M101" s="18"/>
      <c r="N101" s="26"/>
      <c r="O101" s="80">
        <f t="shared" si="4"/>
        <v>1.8189894035458565E-12</v>
      </c>
    </row>
    <row r="102" spans="1:15" x14ac:dyDescent="0.25">
      <c r="A102" s="27"/>
      <c r="B102" s="3" t="s">
        <v>6</v>
      </c>
      <c r="C102" s="23" t="s">
        <v>30</v>
      </c>
      <c r="D102" s="19" t="s">
        <v>111</v>
      </c>
      <c r="E102" s="19">
        <v>41667</v>
      </c>
      <c r="F102" s="79">
        <v>25304.9</v>
      </c>
      <c r="G102" s="79">
        <v>3424.51</v>
      </c>
      <c r="H102" s="79">
        <v>25304.9</v>
      </c>
      <c r="I102" s="79">
        <v>3424.51</v>
      </c>
      <c r="J102" s="79"/>
      <c r="K102" s="5">
        <f t="shared" si="10"/>
        <v>0</v>
      </c>
      <c r="L102" s="18"/>
      <c r="M102" s="18"/>
      <c r="N102" s="26"/>
      <c r="O102" s="80">
        <f t="shared" si="4"/>
        <v>1.8189894035458565E-12</v>
      </c>
    </row>
    <row r="103" spans="1:15" x14ac:dyDescent="0.25">
      <c r="A103" s="27"/>
      <c r="B103" s="3" t="s">
        <v>6</v>
      </c>
      <c r="C103" s="23" t="s">
        <v>29</v>
      </c>
      <c r="D103" s="19" t="s">
        <v>111</v>
      </c>
      <c r="E103" s="19">
        <v>41667</v>
      </c>
      <c r="F103" s="79">
        <v>10554.64</v>
      </c>
      <c r="G103" s="79">
        <v>2583.14</v>
      </c>
      <c r="H103" s="79">
        <v>10554.64</v>
      </c>
      <c r="I103" s="79">
        <v>1583.2</v>
      </c>
      <c r="J103" s="79"/>
      <c r="K103" s="5">
        <f t="shared" ref="K103" si="11">G103-I103</f>
        <v>999.93999999999983</v>
      </c>
      <c r="L103" s="18"/>
      <c r="M103" s="18"/>
      <c r="N103" s="26"/>
      <c r="O103" s="80">
        <f t="shared" si="4"/>
        <v>-4.5474735088646412E-13</v>
      </c>
    </row>
    <row r="104" spans="1:15" x14ac:dyDescent="0.25">
      <c r="A104" s="27"/>
      <c r="B104" s="3" t="s">
        <v>6</v>
      </c>
      <c r="C104" s="23" t="s">
        <v>9</v>
      </c>
      <c r="D104" s="19" t="s">
        <v>111</v>
      </c>
      <c r="E104" s="19">
        <v>41667</v>
      </c>
      <c r="F104" s="79">
        <v>64479.75</v>
      </c>
      <c r="G104" s="79">
        <v>6376.67</v>
      </c>
      <c r="H104" s="79">
        <v>64479.75</v>
      </c>
      <c r="I104" s="79">
        <v>6376.67</v>
      </c>
      <c r="J104" s="79"/>
      <c r="K104" s="5">
        <v>0</v>
      </c>
      <c r="L104" s="18"/>
      <c r="M104" s="18"/>
      <c r="N104" s="26"/>
      <c r="O104" s="80">
        <f t="shared" si="4"/>
        <v>-1.8189894035458565E-12</v>
      </c>
    </row>
    <row r="105" spans="1:15" x14ac:dyDescent="0.25">
      <c r="A105" s="27"/>
      <c r="B105" s="3" t="s">
        <v>6</v>
      </c>
      <c r="C105" s="23" t="s">
        <v>8</v>
      </c>
      <c r="D105" s="19" t="s">
        <v>111</v>
      </c>
      <c r="E105" s="19">
        <v>41667</v>
      </c>
      <c r="F105" s="79">
        <v>50691.78</v>
      </c>
      <c r="G105" s="79">
        <v>8708.8700000000008</v>
      </c>
      <c r="H105" s="79">
        <v>50691.78</v>
      </c>
      <c r="I105" s="79">
        <v>7603.77</v>
      </c>
      <c r="J105" s="79"/>
      <c r="K105" s="5">
        <f>G105-I105</f>
        <v>1105.1000000000004</v>
      </c>
      <c r="L105" s="18"/>
      <c r="M105" s="18"/>
      <c r="N105" s="26"/>
      <c r="O105" s="80">
        <f t="shared" si="4"/>
        <v>1.8189894035458565E-12</v>
      </c>
    </row>
    <row r="106" spans="1:15" x14ac:dyDescent="0.25">
      <c r="A106" s="27"/>
      <c r="B106" s="3" t="s">
        <v>6</v>
      </c>
      <c r="C106" s="23" t="s">
        <v>7</v>
      </c>
      <c r="D106" s="19" t="s">
        <v>111</v>
      </c>
      <c r="E106" s="19">
        <v>41667</v>
      </c>
      <c r="F106" s="79">
        <v>55249.53</v>
      </c>
      <c r="G106" s="79">
        <v>8620.2999999999993</v>
      </c>
      <c r="H106" s="79">
        <v>55249.53</v>
      </c>
      <c r="I106" s="79">
        <v>8287.43</v>
      </c>
      <c r="J106" s="79"/>
      <c r="K106" s="5">
        <f t="shared" ref="K106" si="12">G106-I106</f>
        <v>332.86999999999898</v>
      </c>
      <c r="L106" s="18"/>
      <c r="M106" s="18"/>
      <c r="N106" s="26"/>
      <c r="O106" s="80">
        <f t="shared" si="4"/>
        <v>3.637978807091713E-12</v>
      </c>
    </row>
    <row r="107" spans="1:15" x14ac:dyDescent="0.25">
      <c r="A107" s="27"/>
      <c r="B107" s="3" t="s">
        <v>6</v>
      </c>
      <c r="C107" s="23" t="s">
        <v>28</v>
      </c>
      <c r="D107" s="19" t="s">
        <v>111</v>
      </c>
      <c r="E107" s="19">
        <v>41667</v>
      </c>
      <c r="F107" s="79">
        <v>4922.37</v>
      </c>
      <c r="G107" s="79">
        <v>4096.13</v>
      </c>
      <c r="H107" s="79">
        <v>4922.37</v>
      </c>
      <c r="I107" s="79">
        <v>738.36</v>
      </c>
      <c r="J107" s="79"/>
      <c r="K107" s="5">
        <f>G107-I107</f>
        <v>3357.77</v>
      </c>
      <c r="L107" s="18"/>
      <c r="M107" s="18"/>
      <c r="N107" s="26"/>
      <c r="O107" s="80">
        <f t="shared" si="4"/>
        <v>0</v>
      </c>
    </row>
    <row r="108" spans="1:15" x14ac:dyDescent="0.25">
      <c r="A108" s="27"/>
      <c r="B108" s="3" t="s">
        <v>82</v>
      </c>
      <c r="C108" s="23" t="s">
        <v>83</v>
      </c>
      <c r="D108" s="19" t="s">
        <v>139</v>
      </c>
      <c r="E108" s="19">
        <v>41667</v>
      </c>
      <c r="F108" s="79">
        <v>4988.62</v>
      </c>
      <c r="G108" s="79">
        <v>871</v>
      </c>
      <c r="H108" s="79">
        <v>4988.62</v>
      </c>
      <c r="I108" s="79">
        <v>871</v>
      </c>
      <c r="J108" s="79"/>
      <c r="K108" s="5">
        <f t="shared" ref="K108" si="13">G108-I108</f>
        <v>0</v>
      </c>
      <c r="L108" s="18"/>
      <c r="M108" s="18"/>
      <c r="N108" s="26"/>
      <c r="O108" s="80">
        <f t="shared" si="4"/>
        <v>0</v>
      </c>
    </row>
    <row r="109" spans="1:15" x14ac:dyDescent="0.25">
      <c r="A109" s="27"/>
      <c r="B109" s="3" t="s">
        <v>141</v>
      </c>
      <c r="C109" s="23" t="s">
        <v>68</v>
      </c>
      <c r="D109" s="19" t="s">
        <v>111</v>
      </c>
      <c r="E109" s="19">
        <v>41667</v>
      </c>
      <c r="F109" s="79">
        <v>75059.56</v>
      </c>
      <c r="G109" s="79">
        <v>11258.93</v>
      </c>
      <c r="H109" s="79">
        <v>75059.56</v>
      </c>
      <c r="I109" s="79">
        <v>11258.93</v>
      </c>
      <c r="J109" s="79"/>
      <c r="K109" s="5"/>
      <c r="L109" s="18"/>
      <c r="M109" s="18"/>
      <c r="N109" s="26"/>
      <c r="O109" s="80">
        <f t="shared" si="4"/>
        <v>-7.2759576141834259E-12</v>
      </c>
    </row>
    <row r="110" spans="1:15" x14ac:dyDescent="0.25">
      <c r="A110" s="27"/>
      <c r="B110" s="3" t="s">
        <v>49</v>
      </c>
      <c r="C110" s="23" t="s">
        <v>50</v>
      </c>
      <c r="D110" s="19" t="s">
        <v>111</v>
      </c>
      <c r="E110" s="19">
        <v>41668</v>
      </c>
      <c r="F110" s="79">
        <v>3195.67</v>
      </c>
      <c r="G110" s="79">
        <v>722.5</v>
      </c>
      <c r="H110" s="79">
        <v>3195.67</v>
      </c>
      <c r="I110" s="79">
        <v>722.5</v>
      </c>
      <c r="J110" s="79"/>
      <c r="K110" s="5"/>
      <c r="L110" s="18"/>
      <c r="M110" s="18"/>
      <c r="N110" s="26"/>
      <c r="O110" s="80">
        <f t="shared" si="4"/>
        <v>0</v>
      </c>
    </row>
    <row r="111" spans="1:15" x14ac:dyDescent="0.25">
      <c r="A111" s="27"/>
      <c r="B111" s="3" t="s">
        <v>142</v>
      </c>
      <c r="C111" s="23" t="s">
        <v>72</v>
      </c>
      <c r="D111" s="19" t="s">
        <v>111</v>
      </c>
      <c r="E111" s="19">
        <v>41669</v>
      </c>
      <c r="F111" s="79">
        <v>53693.74</v>
      </c>
      <c r="G111" s="79">
        <v>0</v>
      </c>
      <c r="H111" s="79">
        <v>53693.74</v>
      </c>
      <c r="I111" s="79">
        <v>0</v>
      </c>
      <c r="J111" s="79"/>
      <c r="K111" s="5"/>
      <c r="L111" s="18"/>
      <c r="M111" s="18"/>
      <c r="N111" s="26"/>
      <c r="O111" s="80">
        <f t="shared" si="4"/>
        <v>0</v>
      </c>
    </row>
    <row r="112" spans="1:15" x14ac:dyDescent="0.25">
      <c r="A112" s="27"/>
      <c r="B112" s="3" t="s">
        <v>39</v>
      </c>
      <c r="C112" s="23" t="s">
        <v>40</v>
      </c>
      <c r="D112" s="19" t="s">
        <v>111</v>
      </c>
      <c r="E112" s="19">
        <v>41669</v>
      </c>
      <c r="F112" s="79">
        <v>20165.63</v>
      </c>
      <c r="G112" s="79">
        <v>1300</v>
      </c>
      <c r="H112" s="79">
        <v>20165.63</v>
      </c>
      <c r="I112" s="79">
        <v>1300</v>
      </c>
      <c r="J112" s="79"/>
      <c r="K112" s="5"/>
      <c r="L112" s="18"/>
      <c r="M112" s="18"/>
      <c r="N112" s="26"/>
      <c r="O112" s="80">
        <f t="shared" si="4"/>
        <v>0</v>
      </c>
    </row>
    <row r="113" spans="1:15" x14ac:dyDescent="0.25">
      <c r="A113" s="27"/>
      <c r="B113" s="3" t="s">
        <v>37</v>
      </c>
      <c r="C113" s="23" t="s">
        <v>38</v>
      </c>
      <c r="D113" s="19" t="s">
        <v>111</v>
      </c>
      <c r="E113" s="19">
        <v>41669</v>
      </c>
      <c r="F113" s="79">
        <v>3502.96</v>
      </c>
      <c r="G113" s="79">
        <v>4730</v>
      </c>
      <c r="H113" s="79">
        <v>2991.46</v>
      </c>
      <c r="I113" s="79">
        <v>448.72</v>
      </c>
      <c r="J113" s="79"/>
      <c r="K113" s="5">
        <f>G113-I113</f>
        <v>4281.28</v>
      </c>
      <c r="L113" s="18"/>
      <c r="M113" s="18"/>
      <c r="N113" s="26">
        <v>511.5</v>
      </c>
      <c r="O113" s="80">
        <f t="shared" si="4"/>
        <v>-9.0949470177292824E-13</v>
      </c>
    </row>
    <row r="114" spans="1:15" x14ac:dyDescent="0.25">
      <c r="A114" s="27"/>
      <c r="B114" s="3" t="s">
        <v>88</v>
      </c>
      <c r="C114" s="23" t="s">
        <v>96</v>
      </c>
      <c r="D114" s="19" t="s">
        <v>143</v>
      </c>
      <c r="E114" s="19">
        <v>41669</v>
      </c>
      <c r="F114" s="79">
        <v>23835.23</v>
      </c>
      <c r="G114" s="79">
        <v>2039.07</v>
      </c>
      <c r="H114" s="79">
        <v>23835.23</v>
      </c>
      <c r="I114" s="79">
        <v>2039.07</v>
      </c>
      <c r="J114" s="79"/>
      <c r="K114" s="5"/>
      <c r="L114" s="18"/>
      <c r="M114" s="18"/>
      <c r="N114" s="26"/>
      <c r="O114" s="80">
        <f t="shared" si="4"/>
        <v>-2.2737367544323206E-13</v>
      </c>
    </row>
    <row r="115" spans="1:15" x14ac:dyDescent="0.25">
      <c r="A115" s="27"/>
      <c r="B115" s="3" t="s">
        <v>53</v>
      </c>
      <c r="C115" s="23" t="s">
        <v>54</v>
      </c>
      <c r="D115" s="19" t="s">
        <v>139</v>
      </c>
      <c r="E115" s="19">
        <v>41669</v>
      </c>
      <c r="F115" s="79">
        <v>6907.18</v>
      </c>
      <c r="G115" s="79">
        <v>875.22</v>
      </c>
      <c r="H115" s="79">
        <v>6907.18</v>
      </c>
      <c r="I115" s="79">
        <v>875.22</v>
      </c>
      <c r="J115" s="79"/>
      <c r="K115" s="5"/>
      <c r="L115" s="18"/>
      <c r="M115" s="18"/>
      <c r="N115" s="26"/>
      <c r="O115" s="80">
        <f t="shared" si="4"/>
        <v>2.2737367544323206E-13</v>
      </c>
    </row>
    <row r="116" spans="1:15" x14ac:dyDescent="0.25">
      <c r="A116" s="27"/>
      <c r="B116" s="3" t="s">
        <v>65</v>
      </c>
      <c r="C116" s="23" t="s">
        <v>66</v>
      </c>
      <c r="D116" s="19" t="s">
        <v>140</v>
      </c>
      <c r="E116" s="19">
        <v>41669</v>
      </c>
      <c r="F116" s="79">
        <v>14180.6</v>
      </c>
      <c r="G116" s="79">
        <v>1559.87</v>
      </c>
      <c r="H116" s="79">
        <v>14180.6</v>
      </c>
      <c r="I116" s="79">
        <v>1559.87</v>
      </c>
      <c r="J116" s="79"/>
      <c r="K116" s="5"/>
      <c r="L116" s="18"/>
      <c r="M116" s="18"/>
      <c r="N116" s="26"/>
      <c r="O116" s="80">
        <f t="shared" si="4"/>
        <v>9.0949470177292824E-13</v>
      </c>
    </row>
    <row r="117" spans="1:15" x14ac:dyDescent="0.25">
      <c r="A117" s="27"/>
      <c r="B117" s="3" t="s">
        <v>61</v>
      </c>
      <c r="C117" s="23" t="s">
        <v>62</v>
      </c>
      <c r="D117" s="19" t="s">
        <v>111</v>
      </c>
      <c r="E117" s="19">
        <v>41669</v>
      </c>
      <c r="F117" s="79">
        <v>55039.839999999997</v>
      </c>
      <c r="G117" s="79">
        <v>5512.71</v>
      </c>
      <c r="H117" s="79">
        <v>55039.839999999997</v>
      </c>
      <c r="I117" s="79">
        <v>5512.71</v>
      </c>
      <c r="J117" s="79"/>
      <c r="K117" s="5"/>
      <c r="L117" s="18"/>
      <c r="M117" s="18"/>
      <c r="N117" s="26"/>
      <c r="O117" s="80">
        <f t="shared" si="4"/>
        <v>-9.0949470177292824E-13</v>
      </c>
    </row>
    <row r="118" spans="1:15" x14ac:dyDescent="0.25">
      <c r="A118" s="27"/>
      <c r="B118" s="3" t="s">
        <v>75</v>
      </c>
      <c r="C118" s="23" t="s">
        <v>76</v>
      </c>
      <c r="D118" s="19" t="s">
        <v>111</v>
      </c>
      <c r="E118" s="19">
        <v>41669</v>
      </c>
      <c r="F118" s="79">
        <v>19080.419999999998</v>
      </c>
      <c r="G118" s="79">
        <v>2862.05</v>
      </c>
      <c r="H118" s="79">
        <v>19080.419999999998</v>
      </c>
      <c r="I118" s="79">
        <v>2862.05</v>
      </c>
      <c r="J118" s="79"/>
      <c r="K118" s="5"/>
      <c r="L118" s="18"/>
      <c r="M118" s="18"/>
      <c r="N118" s="26"/>
      <c r="O118" s="80">
        <f t="shared" si="4"/>
        <v>-9.0949470177292824E-13</v>
      </c>
    </row>
    <row r="119" spans="1:15" x14ac:dyDescent="0.25">
      <c r="A119" s="27"/>
      <c r="B119" s="3" t="s">
        <v>41</v>
      </c>
      <c r="C119" s="23" t="s">
        <v>42</v>
      </c>
      <c r="D119" s="19" t="s">
        <v>111</v>
      </c>
      <c r="E119" s="19">
        <v>41669</v>
      </c>
      <c r="F119" s="79">
        <v>15892.87</v>
      </c>
      <c r="G119" s="79">
        <v>150</v>
      </c>
      <c r="H119" s="79">
        <v>15892.87</v>
      </c>
      <c r="I119" s="79">
        <v>150</v>
      </c>
      <c r="J119" s="79"/>
      <c r="K119" s="5"/>
      <c r="L119" s="18"/>
      <c r="M119" s="18"/>
      <c r="N119" s="26"/>
      <c r="O119" s="80">
        <f t="shared" si="4"/>
        <v>0</v>
      </c>
    </row>
    <row r="120" spans="1:15" x14ac:dyDescent="0.25">
      <c r="A120" s="27"/>
      <c r="B120" s="3" t="s">
        <v>84</v>
      </c>
      <c r="C120" s="23" t="s">
        <v>92</v>
      </c>
      <c r="D120" s="19" t="s">
        <v>111</v>
      </c>
      <c r="E120" s="19">
        <v>41669</v>
      </c>
      <c r="F120" s="79">
        <v>42024.55</v>
      </c>
      <c r="G120" s="79">
        <v>5157.83</v>
      </c>
      <c r="H120" s="79">
        <v>42024.55</v>
      </c>
      <c r="I120" s="79">
        <v>5157.83</v>
      </c>
      <c r="J120" s="79"/>
      <c r="K120" s="5"/>
      <c r="L120" s="18"/>
      <c r="M120" s="18"/>
      <c r="N120" s="26"/>
      <c r="O120" s="80">
        <f t="shared" si="4"/>
        <v>1.8189894035458565E-12</v>
      </c>
    </row>
    <row r="121" spans="1:15" x14ac:dyDescent="0.25">
      <c r="A121" s="27"/>
      <c r="B121" s="3" t="s">
        <v>87</v>
      </c>
      <c r="C121" s="23" t="s">
        <v>95</v>
      </c>
      <c r="D121" s="19" t="s">
        <v>111</v>
      </c>
      <c r="E121" s="19">
        <v>41669</v>
      </c>
      <c r="F121" s="79">
        <v>10379.780000000001</v>
      </c>
      <c r="G121" s="79">
        <v>0</v>
      </c>
      <c r="H121" s="79">
        <v>10379.780000000001</v>
      </c>
      <c r="I121" s="79">
        <v>0</v>
      </c>
      <c r="J121" s="79"/>
      <c r="K121" s="5">
        <v>0</v>
      </c>
      <c r="L121" s="18"/>
      <c r="M121" s="18"/>
      <c r="N121" s="26"/>
      <c r="O121" s="80">
        <f t="shared" si="4"/>
        <v>0</v>
      </c>
    </row>
    <row r="122" spans="1:15" x14ac:dyDescent="0.25">
      <c r="A122" s="27"/>
      <c r="B122" s="3" t="s">
        <v>59</v>
      </c>
      <c r="C122" s="23" t="s">
        <v>60</v>
      </c>
      <c r="D122" s="19" t="s">
        <v>111</v>
      </c>
      <c r="E122" s="19">
        <v>41669</v>
      </c>
      <c r="F122" s="79">
        <v>17435.52</v>
      </c>
      <c r="G122" s="79">
        <v>4655.05</v>
      </c>
      <c r="H122" s="79">
        <v>17435.52</v>
      </c>
      <c r="I122" s="79">
        <v>3776.85</v>
      </c>
      <c r="J122" s="79"/>
      <c r="K122" s="5">
        <f>G122-I122</f>
        <v>878.20000000000027</v>
      </c>
      <c r="L122" s="18"/>
      <c r="M122" s="18"/>
      <c r="N122" s="26"/>
      <c r="O122" s="80">
        <f t="shared" si="4"/>
        <v>-9.0949470177292824E-13</v>
      </c>
    </row>
    <row r="123" spans="1:15" x14ac:dyDescent="0.25">
      <c r="A123" s="27"/>
      <c r="B123" s="3" t="s">
        <v>144</v>
      </c>
      <c r="C123" s="23" t="s">
        <v>78</v>
      </c>
      <c r="D123" s="19" t="s">
        <v>140</v>
      </c>
      <c r="E123" s="19">
        <v>41669</v>
      </c>
      <c r="F123" s="79">
        <v>93426.92</v>
      </c>
      <c r="G123" s="79">
        <v>9662.2800000000007</v>
      </c>
      <c r="H123" s="79">
        <v>93426.92</v>
      </c>
      <c r="I123" s="79">
        <v>9662.2800000000007</v>
      </c>
      <c r="J123" s="79"/>
      <c r="K123" s="5"/>
      <c r="L123" s="18"/>
      <c r="M123" s="18"/>
      <c r="N123" s="26"/>
      <c r="O123" s="80">
        <f t="shared" si="4"/>
        <v>-1.8189894035458565E-12</v>
      </c>
    </row>
    <row r="124" spans="1:15" x14ac:dyDescent="0.25">
      <c r="A124" s="27"/>
      <c r="B124" s="3" t="s">
        <v>90</v>
      </c>
      <c r="C124" s="23" t="s">
        <v>98</v>
      </c>
      <c r="D124" s="19" t="s">
        <v>140</v>
      </c>
      <c r="E124" s="19">
        <v>41674</v>
      </c>
      <c r="F124" s="79">
        <v>75299.81</v>
      </c>
      <c r="G124" s="79">
        <v>21358.99</v>
      </c>
      <c r="H124" s="79">
        <v>75299.81</v>
      </c>
      <c r="I124" s="79">
        <v>20519.900000000001</v>
      </c>
      <c r="J124" s="79"/>
      <c r="K124" s="5">
        <f>G124-I124</f>
        <v>839.09000000000015</v>
      </c>
      <c r="L124" s="18"/>
      <c r="M124" s="18"/>
      <c r="N124" s="26"/>
      <c r="O124" s="80">
        <f t="shared" si="4"/>
        <v>3.637978807091713E-12</v>
      </c>
    </row>
    <row r="125" spans="1:15" x14ac:dyDescent="0.25">
      <c r="A125" s="27"/>
      <c r="B125" s="3" t="s">
        <v>45</v>
      </c>
      <c r="C125" s="23" t="s">
        <v>46</v>
      </c>
      <c r="D125" s="19" t="s">
        <v>140</v>
      </c>
      <c r="E125" s="19">
        <v>41681</v>
      </c>
      <c r="F125" s="79">
        <v>28873.39</v>
      </c>
      <c r="G125" s="79">
        <v>19251.439999999999</v>
      </c>
      <c r="H125" s="79">
        <v>28873.39</v>
      </c>
      <c r="I125" s="79">
        <v>4331.01</v>
      </c>
      <c r="J125" s="79"/>
      <c r="K125" s="5"/>
      <c r="L125" s="18"/>
      <c r="M125" s="18"/>
      <c r="N125" s="26"/>
      <c r="O125" s="80">
        <f t="shared" si="4"/>
        <v>14920.430000000002</v>
      </c>
    </row>
    <row r="126" spans="1:15" x14ac:dyDescent="0.25">
      <c r="A126" s="27"/>
      <c r="B126" s="3" t="s">
        <v>63</v>
      </c>
      <c r="C126" s="23" t="s">
        <v>64</v>
      </c>
      <c r="D126" s="19" t="s">
        <v>140</v>
      </c>
      <c r="E126" s="19">
        <v>41673</v>
      </c>
      <c r="F126" s="79">
        <v>113123.28</v>
      </c>
      <c r="G126" s="79">
        <v>21910.52</v>
      </c>
      <c r="H126" s="79">
        <v>112731.28</v>
      </c>
      <c r="I126" s="79">
        <v>19291.41</v>
      </c>
      <c r="J126" s="79"/>
      <c r="K126" s="5">
        <f>G126-I126</f>
        <v>2619.1100000000006</v>
      </c>
      <c r="L126" s="18"/>
      <c r="M126" s="18"/>
      <c r="N126" s="26">
        <v>392</v>
      </c>
      <c r="O126" s="80">
        <f t="shared" si="4"/>
        <v>-1.0913936421275139E-11</v>
      </c>
    </row>
    <row r="127" spans="1:15" x14ac:dyDescent="0.25">
      <c r="A127" s="27"/>
      <c r="B127" s="3" t="s">
        <v>22</v>
      </c>
      <c r="C127" s="23" t="s">
        <v>23</v>
      </c>
      <c r="D127" s="19" t="s">
        <v>111</v>
      </c>
      <c r="E127" s="19">
        <v>41662</v>
      </c>
      <c r="F127" s="79">
        <v>35585.94</v>
      </c>
      <c r="G127" s="79">
        <v>5064.8999999999996</v>
      </c>
      <c r="H127" s="79">
        <v>35585.94</v>
      </c>
      <c r="I127" s="79">
        <v>5064.8999999999996</v>
      </c>
      <c r="J127" s="79"/>
      <c r="K127" s="5"/>
      <c r="L127" s="18"/>
      <c r="M127" s="18"/>
      <c r="N127" s="26"/>
      <c r="O127" s="80">
        <f t="shared" si="4"/>
        <v>1.8189894035458565E-12</v>
      </c>
    </row>
    <row r="128" spans="1:15" x14ac:dyDescent="0.25">
      <c r="A128" s="27"/>
      <c r="B128" s="3" t="s">
        <v>89</v>
      </c>
      <c r="C128" s="23" t="s">
        <v>97</v>
      </c>
      <c r="D128" s="19" t="s">
        <v>138</v>
      </c>
      <c r="E128" s="19">
        <v>41690</v>
      </c>
      <c r="F128" s="79">
        <v>7599.43</v>
      </c>
      <c r="G128" s="79">
        <v>0</v>
      </c>
      <c r="H128" s="79">
        <v>7599.43</v>
      </c>
      <c r="I128" s="79">
        <v>0</v>
      </c>
      <c r="J128" s="79"/>
      <c r="K128" s="5"/>
      <c r="L128" s="18"/>
      <c r="M128" s="18"/>
      <c r="N128" s="26"/>
      <c r="O128" s="80">
        <f t="shared" si="4"/>
        <v>0</v>
      </c>
    </row>
    <row r="129" spans="1:15" x14ac:dyDescent="0.25">
      <c r="A129" s="27"/>
      <c r="B129" s="3" t="s">
        <v>89</v>
      </c>
      <c r="C129" s="23" t="s">
        <v>97</v>
      </c>
      <c r="D129" s="19" t="s">
        <v>145</v>
      </c>
      <c r="E129" s="19">
        <v>41690</v>
      </c>
      <c r="F129" s="79">
        <v>1240</v>
      </c>
      <c r="G129" s="79">
        <v>0</v>
      </c>
      <c r="H129" s="79">
        <v>1240</v>
      </c>
      <c r="I129" s="79">
        <v>0</v>
      </c>
      <c r="J129" s="79"/>
      <c r="K129" s="5"/>
      <c r="L129" s="18"/>
      <c r="M129" s="18"/>
      <c r="N129" s="26"/>
      <c r="O129" s="80">
        <f t="shared" si="4"/>
        <v>0</v>
      </c>
    </row>
    <row r="130" spans="1:15" x14ac:dyDescent="0.25">
      <c r="A130" s="27"/>
      <c r="B130" s="3" t="s">
        <v>85</v>
      </c>
      <c r="C130" s="23" t="s">
        <v>93</v>
      </c>
      <c r="D130" s="19" t="s">
        <v>114</v>
      </c>
      <c r="E130" s="19">
        <v>41691</v>
      </c>
      <c r="F130" s="79">
        <v>7702.6</v>
      </c>
      <c r="G130" s="79">
        <v>6015.05</v>
      </c>
      <c r="H130" s="79">
        <v>7702.6</v>
      </c>
      <c r="I130" s="79">
        <v>1155.3900000000001</v>
      </c>
      <c r="J130" s="79"/>
      <c r="K130" s="5">
        <f>G130-I130</f>
        <v>4859.66</v>
      </c>
      <c r="L130" s="18"/>
      <c r="M130" s="18"/>
      <c r="N130" s="26"/>
      <c r="O130" s="80">
        <f t="shared" si="4"/>
        <v>9.0949470177292824E-13</v>
      </c>
    </row>
    <row r="131" spans="1:15" x14ac:dyDescent="0.25">
      <c r="A131" s="27"/>
      <c r="B131" s="3" t="s">
        <v>85</v>
      </c>
      <c r="C131" s="23" t="s">
        <v>93</v>
      </c>
      <c r="D131" s="19" t="s">
        <v>137</v>
      </c>
      <c r="E131" s="19">
        <v>41691</v>
      </c>
      <c r="F131" s="79">
        <v>3186.35</v>
      </c>
      <c r="G131" s="79">
        <v>8288.06</v>
      </c>
      <c r="H131" s="79">
        <v>3186.35</v>
      </c>
      <c r="I131" s="79">
        <v>477.95</v>
      </c>
      <c r="J131" s="79"/>
      <c r="K131" s="5">
        <f>G131-I131</f>
        <v>7810.11</v>
      </c>
      <c r="L131" s="18"/>
      <c r="M131" s="18"/>
      <c r="N131" s="26"/>
      <c r="O131" s="80">
        <f t="shared" si="4"/>
        <v>0</v>
      </c>
    </row>
    <row r="132" spans="1:15" x14ac:dyDescent="0.25">
      <c r="A132" s="27"/>
      <c r="B132" s="3" t="s">
        <v>85</v>
      </c>
      <c r="C132" s="23" t="s">
        <v>93</v>
      </c>
      <c r="D132" s="19" t="s">
        <v>138</v>
      </c>
      <c r="E132" s="19">
        <v>41691</v>
      </c>
      <c r="F132" s="79">
        <v>3597.6</v>
      </c>
      <c r="G132" s="79">
        <v>7697.09</v>
      </c>
      <c r="H132" s="79">
        <v>3597.6</v>
      </c>
      <c r="I132" s="79">
        <v>539.64</v>
      </c>
      <c r="J132" s="79"/>
      <c r="K132" s="5">
        <f>G132-I132</f>
        <v>7157.45</v>
      </c>
      <c r="L132" s="18"/>
      <c r="M132" s="18"/>
      <c r="N132" s="26"/>
      <c r="O132" s="80">
        <f t="shared" si="4"/>
        <v>0</v>
      </c>
    </row>
    <row r="133" spans="1:15" x14ac:dyDescent="0.25">
      <c r="A133" s="27"/>
      <c r="B133" s="3" t="s">
        <v>85</v>
      </c>
      <c r="C133" s="23" t="s">
        <v>93</v>
      </c>
      <c r="D133" s="19" t="s">
        <v>139</v>
      </c>
      <c r="E133" s="19">
        <v>41691</v>
      </c>
      <c r="F133" s="79">
        <v>5879.85</v>
      </c>
      <c r="G133" s="79">
        <v>6656.36</v>
      </c>
      <c r="H133" s="79">
        <v>5879.85</v>
      </c>
      <c r="I133" s="79">
        <v>881.98</v>
      </c>
      <c r="J133" s="79"/>
      <c r="K133" s="5">
        <f>G133-I133</f>
        <v>5774.3799999999992</v>
      </c>
      <c r="L133" s="18"/>
      <c r="M133" s="18"/>
      <c r="N133" s="26"/>
      <c r="O133" s="80">
        <f t="shared" ref="O133:O196" si="14">(F133+G133)-H133-I133-J133-K133-L133-M133-N133</f>
        <v>0</v>
      </c>
    </row>
    <row r="134" spans="1:15" x14ac:dyDescent="0.25">
      <c r="A134" s="27"/>
      <c r="B134" s="3" t="s">
        <v>73</v>
      </c>
      <c r="C134" s="23" t="s">
        <v>74</v>
      </c>
      <c r="D134" s="19" t="s">
        <v>145</v>
      </c>
      <c r="E134" s="19">
        <v>41694</v>
      </c>
      <c r="F134" s="79">
        <v>152.22999999999999</v>
      </c>
      <c r="G134" s="79">
        <v>995.18</v>
      </c>
      <c r="H134" s="79">
        <v>152.22999999999999</v>
      </c>
      <c r="I134" s="79">
        <v>995.18</v>
      </c>
      <c r="J134" s="79"/>
      <c r="K134" s="5"/>
      <c r="L134" s="18"/>
      <c r="M134" s="18"/>
      <c r="N134" s="26"/>
      <c r="O134" s="80">
        <f t="shared" si="14"/>
        <v>-1.1368683772161603E-13</v>
      </c>
    </row>
    <row r="135" spans="1:15" x14ac:dyDescent="0.25">
      <c r="A135" s="27"/>
      <c r="B135" s="3" t="s">
        <v>133</v>
      </c>
      <c r="C135" s="23" t="s">
        <v>15</v>
      </c>
      <c r="D135" s="19" t="s">
        <v>145</v>
      </c>
      <c r="E135" s="19">
        <v>41694</v>
      </c>
      <c r="F135" s="79">
        <v>9841.94</v>
      </c>
      <c r="G135" s="79">
        <v>1662.85</v>
      </c>
      <c r="H135" s="79">
        <v>9841.94</v>
      </c>
      <c r="I135" s="79">
        <v>1662.85</v>
      </c>
      <c r="J135" s="79"/>
      <c r="K135" s="5"/>
      <c r="L135" s="18"/>
      <c r="M135" s="18"/>
      <c r="N135" s="26"/>
      <c r="O135" s="80">
        <f t="shared" si="14"/>
        <v>4.5474735088646412E-13</v>
      </c>
    </row>
    <row r="136" spans="1:15" x14ac:dyDescent="0.25">
      <c r="A136" s="27"/>
      <c r="B136" s="3" t="s">
        <v>82</v>
      </c>
      <c r="C136" s="23" t="s">
        <v>83</v>
      </c>
      <c r="D136" s="19" t="s">
        <v>145</v>
      </c>
      <c r="E136" s="19">
        <v>41696</v>
      </c>
      <c r="F136" s="79">
        <v>876.48</v>
      </c>
      <c r="G136" s="79">
        <v>479.05</v>
      </c>
      <c r="H136" s="79">
        <v>876.48</v>
      </c>
      <c r="I136" s="79">
        <v>449.68</v>
      </c>
      <c r="J136" s="79"/>
      <c r="K136" s="5">
        <f>G136-I136</f>
        <v>29.370000000000005</v>
      </c>
      <c r="L136" s="18"/>
      <c r="M136" s="18"/>
      <c r="N136" s="26"/>
      <c r="O136" s="80">
        <f t="shared" si="14"/>
        <v>-5.6843418860808015E-14</v>
      </c>
    </row>
    <row r="137" spans="1:15" x14ac:dyDescent="0.25">
      <c r="A137" s="27"/>
      <c r="B137" s="3" t="s">
        <v>20</v>
      </c>
      <c r="C137" s="23" t="s">
        <v>21</v>
      </c>
      <c r="D137" s="19" t="s">
        <v>145</v>
      </c>
      <c r="E137" s="19">
        <v>41698</v>
      </c>
      <c r="F137" s="79">
        <v>91669.759999999995</v>
      </c>
      <c r="G137" s="79">
        <v>9571.5</v>
      </c>
      <c r="H137" s="79">
        <v>91669.759999999995</v>
      </c>
      <c r="I137" s="79">
        <v>9571.5</v>
      </c>
      <c r="J137" s="79"/>
      <c r="K137" s="5"/>
      <c r="L137" s="18"/>
      <c r="M137" s="18"/>
      <c r="N137" s="26"/>
      <c r="O137" s="80">
        <f t="shared" si="14"/>
        <v>0</v>
      </c>
    </row>
    <row r="138" spans="1:15" x14ac:dyDescent="0.25">
      <c r="A138" s="27"/>
      <c r="B138" s="3" t="s">
        <v>148</v>
      </c>
      <c r="C138" s="23" t="s">
        <v>94</v>
      </c>
      <c r="D138" s="19" t="s">
        <v>145</v>
      </c>
      <c r="E138" s="19">
        <v>41703</v>
      </c>
      <c r="F138" s="79">
        <v>600.76</v>
      </c>
      <c r="G138" s="79">
        <v>187.2</v>
      </c>
      <c r="H138" s="79">
        <v>600.76</v>
      </c>
      <c r="I138" s="79">
        <v>90.11</v>
      </c>
      <c r="J138" s="79"/>
      <c r="K138" s="5">
        <f>G138-I138</f>
        <v>97.089999999999989</v>
      </c>
      <c r="L138" s="18"/>
      <c r="M138" s="18"/>
      <c r="N138" s="26"/>
      <c r="O138" s="80">
        <f t="shared" si="14"/>
        <v>5.6843418860808015E-14</v>
      </c>
    </row>
    <row r="139" spans="1:15" x14ac:dyDescent="0.25">
      <c r="A139" s="27"/>
      <c r="B139" s="3" t="s">
        <v>53</v>
      </c>
      <c r="C139" s="23" t="s">
        <v>54</v>
      </c>
      <c r="D139" s="19" t="s">
        <v>145</v>
      </c>
      <c r="E139" s="19">
        <v>41704</v>
      </c>
      <c r="F139" s="79">
        <v>1747.93</v>
      </c>
      <c r="G139" s="79">
        <v>1316.96</v>
      </c>
      <c r="H139" s="79">
        <v>1747.93</v>
      </c>
      <c r="I139" s="79">
        <v>1316.96</v>
      </c>
      <c r="J139" s="79"/>
      <c r="K139" s="5"/>
      <c r="L139" s="18"/>
      <c r="M139" s="18"/>
      <c r="N139" s="26"/>
      <c r="O139" s="80">
        <f t="shared" si="14"/>
        <v>2.2737367544323206E-13</v>
      </c>
    </row>
    <row r="140" spans="1:15" x14ac:dyDescent="0.25">
      <c r="A140" s="27"/>
      <c r="B140" s="3" t="s">
        <v>85</v>
      </c>
      <c r="C140" s="23" t="s">
        <v>93</v>
      </c>
      <c r="D140" s="19" t="s">
        <v>145</v>
      </c>
      <c r="E140" s="19">
        <v>41705</v>
      </c>
      <c r="F140" s="79">
        <v>4680.5200000000004</v>
      </c>
      <c r="G140" s="79">
        <v>4572.4399999999996</v>
      </c>
      <c r="H140" s="79">
        <v>4680.5200000000004</v>
      </c>
      <c r="I140" s="79">
        <v>702.08</v>
      </c>
      <c r="J140" s="79"/>
      <c r="K140" s="5">
        <f t="shared" ref="K140" si="15">G140-I140</f>
        <v>3870.3599999999997</v>
      </c>
      <c r="L140" s="18"/>
      <c r="M140" s="18"/>
      <c r="N140" s="26"/>
      <c r="O140" s="80">
        <f t="shared" si="14"/>
        <v>-9.0949470177292824E-13</v>
      </c>
    </row>
    <row r="141" spans="1:15" x14ac:dyDescent="0.25">
      <c r="A141" s="27"/>
      <c r="B141" s="3" t="s">
        <v>51</v>
      </c>
      <c r="C141" s="23" t="s">
        <v>52</v>
      </c>
      <c r="D141" s="19" t="s">
        <v>145</v>
      </c>
      <c r="E141" s="19">
        <v>41705</v>
      </c>
      <c r="F141" s="79">
        <v>1191.02</v>
      </c>
      <c r="G141" s="79">
        <v>1012.25</v>
      </c>
      <c r="H141" s="79">
        <v>1191.02</v>
      </c>
      <c r="I141" s="79">
        <v>178.65</v>
      </c>
      <c r="J141" s="79"/>
      <c r="K141" s="5">
        <f t="shared" ref="K141" si="16">G141-I141</f>
        <v>833.6</v>
      </c>
      <c r="L141" s="18"/>
      <c r="M141" s="18"/>
      <c r="N141" s="26"/>
      <c r="O141" s="80">
        <f t="shared" si="14"/>
        <v>0</v>
      </c>
    </row>
    <row r="142" spans="1:15" x14ac:dyDescent="0.25">
      <c r="A142" s="27"/>
      <c r="B142" s="3" t="s">
        <v>73</v>
      </c>
      <c r="C142" s="23" t="s">
        <v>74</v>
      </c>
      <c r="D142" s="19" t="s">
        <v>146</v>
      </c>
      <c r="E142" s="19">
        <v>41708</v>
      </c>
      <c r="F142" s="79">
        <v>139.56</v>
      </c>
      <c r="G142" s="79">
        <v>2997.7</v>
      </c>
      <c r="H142" s="79">
        <v>139.56</v>
      </c>
      <c r="I142" s="79">
        <v>1689.74</v>
      </c>
      <c r="J142" s="79"/>
      <c r="K142" s="5">
        <f>G142-I142</f>
        <v>1307.9599999999998</v>
      </c>
      <c r="L142" s="18"/>
      <c r="M142" s="18"/>
      <c r="N142" s="26"/>
      <c r="O142" s="80">
        <f t="shared" si="14"/>
        <v>0</v>
      </c>
    </row>
    <row r="143" spans="1:15" x14ac:dyDescent="0.25">
      <c r="A143" s="27"/>
      <c r="B143" s="3" t="s">
        <v>51</v>
      </c>
      <c r="C143" s="23" t="s">
        <v>52</v>
      </c>
      <c r="D143" s="19" t="s">
        <v>146</v>
      </c>
      <c r="E143" s="19">
        <v>41709</v>
      </c>
      <c r="F143" s="79">
        <v>2649.41</v>
      </c>
      <c r="G143" s="79">
        <v>419.75</v>
      </c>
      <c r="H143" s="79">
        <v>2649.41</v>
      </c>
      <c r="I143" s="79">
        <v>397.41</v>
      </c>
      <c r="J143" s="79"/>
      <c r="K143" s="5">
        <f>G143-I143</f>
        <v>22.339999999999975</v>
      </c>
      <c r="L143" s="18"/>
      <c r="M143" s="18"/>
      <c r="N143" s="26"/>
      <c r="O143" s="80">
        <f t="shared" si="14"/>
        <v>0</v>
      </c>
    </row>
    <row r="144" spans="1:15" x14ac:dyDescent="0.25">
      <c r="A144" s="27"/>
      <c r="B144" s="3" t="s">
        <v>47</v>
      </c>
      <c r="C144" s="23" t="s">
        <v>48</v>
      </c>
      <c r="D144" s="19" t="s">
        <v>140</v>
      </c>
      <c r="E144" s="19">
        <v>41712</v>
      </c>
      <c r="F144" s="79">
        <v>86648.81</v>
      </c>
      <c r="G144" s="79">
        <v>12806.69</v>
      </c>
      <c r="H144" s="79">
        <v>86648.81</v>
      </c>
      <c r="I144" s="79">
        <v>12806.69</v>
      </c>
      <c r="J144" s="79"/>
      <c r="K144" s="5"/>
      <c r="L144" s="18"/>
      <c r="M144" s="18"/>
      <c r="N144" s="26"/>
      <c r="O144" s="80">
        <f t="shared" si="14"/>
        <v>1.8189894035458565E-12</v>
      </c>
    </row>
    <row r="145" spans="1:15" x14ac:dyDescent="0.25">
      <c r="A145" s="27"/>
      <c r="B145" s="3" t="s">
        <v>20</v>
      </c>
      <c r="C145" s="23" t="s">
        <v>21</v>
      </c>
      <c r="D145" s="19" t="s">
        <v>146</v>
      </c>
      <c r="E145" s="19">
        <v>41725</v>
      </c>
      <c r="F145" s="79">
        <v>16000.05</v>
      </c>
      <c r="G145" s="79">
        <v>540</v>
      </c>
      <c r="H145" s="79">
        <v>16000.05</v>
      </c>
      <c r="I145" s="79">
        <v>540</v>
      </c>
      <c r="J145" s="79"/>
      <c r="K145" s="5"/>
      <c r="L145" s="18"/>
      <c r="M145" s="18"/>
      <c r="N145" s="26"/>
      <c r="O145" s="80">
        <f t="shared" si="14"/>
        <v>0</v>
      </c>
    </row>
    <row r="146" spans="1:15" x14ac:dyDescent="0.25">
      <c r="A146" s="27"/>
      <c r="B146" s="3" t="s">
        <v>89</v>
      </c>
      <c r="C146" s="23" t="s">
        <v>97</v>
      </c>
      <c r="D146" s="19" t="s">
        <v>146</v>
      </c>
      <c r="E146" s="19">
        <v>41725</v>
      </c>
      <c r="F146" s="79">
        <v>2228.5</v>
      </c>
      <c r="G146" s="79">
        <v>0</v>
      </c>
      <c r="H146" s="79">
        <v>2228.5</v>
      </c>
      <c r="I146" s="79">
        <v>0</v>
      </c>
      <c r="J146" s="79"/>
      <c r="K146" s="5"/>
      <c r="L146" s="18"/>
      <c r="M146" s="18"/>
      <c r="N146" s="26"/>
      <c r="O146" s="80">
        <f t="shared" si="14"/>
        <v>0</v>
      </c>
    </row>
    <row r="147" spans="1:15" x14ac:dyDescent="0.25">
      <c r="A147" s="27"/>
      <c r="B147" s="3" t="s">
        <v>148</v>
      </c>
      <c r="C147" s="23" t="s">
        <v>94</v>
      </c>
      <c r="D147" s="19" t="s">
        <v>146</v>
      </c>
      <c r="E147" s="19">
        <v>41726</v>
      </c>
      <c r="F147" s="79">
        <v>0</v>
      </c>
      <c r="G147" s="79">
        <v>236</v>
      </c>
      <c r="H147" s="79">
        <v>0</v>
      </c>
      <c r="I147" s="79">
        <v>236</v>
      </c>
      <c r="J147" s="79"/>
      <c r="K147" s="5"/>
      <c r="L147" s="18"/>
      <c r="M147" s="18"/>
      <c r="N147" s="26"/>
      <c r="O147" s="80">
        <f t="shared" si="14"/>
        <v>0</v>
      </c>
    </row>
    <row r="148" spans="1:15" x14ac:dyDescent="0.25">
      <c r="A148" s="27"/>
      <c r="B148" s="3" t="s">
        <v>133</v>
      </c>
      <c r="C148" s="23" t="s">
        <v>15</v>
      </c>
      <c r="D148" s="19" t="s">
        <v>146</v>
      </c>
      <c r="E148" s="19">
        <v>41726</v>
      </c>
      <c r="F148" s="79">
        <v>12324.54</v>
      </c>
      <c r="G148" s="79">
        <v>1215.68</v>
      </c>
      <c r="H148" s="79">
        <v>12324.54</v>
      </c>
      <c r="I148" s="79">
        <v>1215.68</v>
      </c>
      <c r="J148" s="79"/>
      <c r="K148" s="5"/>
      <c r="L148" s="18"/>
      <c r="M148" s="18"/>
      <c r="N148" s="26"/>
      <c r="O148" s="80">
        <f t="shared" si="14"/>
        <v>2.2737367544323206E-13</v>
      </c>
    </row>
    <row r="149" spans="1:15" x14ac:dyDescent="0.25">
      <c r="A149" s="27"/>
      <c r="B149" s="3" t="s">
        <v>82</v>
      </c>
      <c r="C149" s="23" t="s">
        <v>83</v>
      </c>
      <c r="D149" s="19" t="s">
        <v>146</v>
      </c>
      <c r="E149" s="19">
        <v>41726</v>
      </c>
      <c r="F149" s="79">
        <v>1153.55</v>
      </c>
      <c r="G149" s="79">
        <v>609.70000000000005</v>
      </c>
      <c r="H149" s="79">
        <v>1153.55</v>
      </c>
      <c r="I149" s="79">
        <v>173.03</v>
      </c>
      <c r="J149" s="79"/>
      <c r="K149" s="5">
        <f>G149-I149</f>
        <v>436.67000000000007</v>
      </c>
      <c r="L149" s="18"/>
      <c r="M149" s="18"/>
      <c r="N149" s="26"/>
      <c r="O149" s="80">
        <f t="shared" si="14"/>
        <v>0</v>
      </c>
    </row>
    <row r="150" spans="1:15" x14ac:dyDescent="0.25">
      <c r="A150" s="27"/>
      <c r="B150" s="3" t="s">
        <v>53</v>
      </c>
      <c r="C150" s="23" t="s">
        <v>54</v>
      </c>
      <c r="D150" s="19" t="s">
        <v>146</v>
      </c>
      <c r="E150" s="19">
        <v>41729</v>
      </c>
      <c r="F150" s="79">
        <v>889.92</v>
      </c>
      <c r="G150" s="79">
        <v>1053.56</v>
      </c>
      <c r="H150" s="79">
        <v>889.92</v>
      </c>
      <c r="I150" s="79">
        <v>1053.56</v>
      </c>
      <c r="J150" s="79"/>
      <c r="K150" s="5"/>
      <c r="L150" s="18"/>
      <c r="M150" s="18"/>
      <c r="N150" s="26"/>
      <c r="O150" s="80">
        <f t="shared" si="14"/>
        <v>0</v>
      </c>
    </row>
    <row r="151" spans="1:15" x14ac:dyDescent="0.25">
      <c r="A151" s="27"/>
      <c r="B151" s="3" t="s">
        <v>85</v>
      </c>
      <c r="C151" s="23" t="s">
        <v>93</v>
      </c>
      <c r="D151" s="19" t="s">
        <v>146</v>
      </c>
      <c r="E151" s="19">
        <v>41729</v>
      </c>
      <c r="F151" s="79">
        <v>5662.29</v>
      </c>
      <c r="G151" s="79">
        <v>4759.74</v>
      </c>
      <c r="H151" s="79">
        <v>5662.29</v>
      </c>
      <c r="I151" s="79">
        <v>849.34</v>
      </c>
      <c r="J151" s="79"/>
      <c r="K151" s="5">
        <f t="shared" ref="K151" si="17">G151-I151</f>
        <v>3910.3999999999996</v>
      </c>
      <c r="L151" s="18"/>
      <c r="M151" s="18"/>
      <c r="N151" s="26"/>
      <c r="O151" s="80">
        <f t="shared" si="14"/>
        <v>-9.0949470177292824E-13</v>
      </c>
    </row>
    <row r="152" spans="1:15" x14ac:dyDescent="0.25">
      <c r="A152" s="27"/>
      <c r="B152" s="3" t="s">
        <v>51</v>
      </c>
      <c r="C152" s="23" t="s">
        <v>52</v>
      </c>
      <c r="D152" s="19" t="s">
        <v>147</v>
      </c>
      <c r="E152" s="19">
        <v>41734</v>
      </c>
      <c r="F152" s="79">
        <v>1208.42</v>
      </c>
      <c r="G152" s="79">
        <v>397.75</v>
      </c>
      <c r="H152" s="79">
        <v>1208.42</v>
      </c>
      <c r="I152" s="79">
        <v>181.26</v>
      </c>
      <c r="J152" s="79"/>
      <c r="K152" s="5">
        <f>G152-I152</f>
        <v>216.49</v>
      </c>
      <c r="L152" s="18"/>
      <c r="M152" s="18"/>
      <c r="N152" s="26"/>
      <c r="O152" s="80">
        <f t="shared" si="14"/>
        <v>0</v>
      </c>
    </row>
    <row r="153" spans="1:15" x14ac:dyDescent="0.25">
      <c r="A153" s="27"/>
      <c r="B153" s="3" t="s">
        <v>57</v>
      </c>
      <c r="C153" s="23" t="s">
        <v>58</v>
      </c>
      <c r="D153" s="19" t="s">
        <v>110</v>
      </c>
      <c r="E153" s="19">
        <v>41737</v>
      </c>
      <c r="F153" s="79">
        <v>19779.169999999998</v>
      </c>
      <c r="G153" s="79">
        <v>1946.29</v>
      </c>
      <c r="H153" s="79">
        <v>19779.169999999998</v>
      </c>
      <c r="I153" s="79">
        <v>1946.29</v>
      </c>
      <c r="J153" s="79"/>
      <c r="K153" s="5"/>
      <c r="L153" s="18"/>
      <c r="M153" s="18"/>
      <c r="N153" s="26"/>
      <c r="O153" s="80">
        <f t="shared" si="14"/>
        <v>9.0949470177292824E-13</v>
      </c>
    </row>
    <row r="154" spans="1:15" x14ac:dyDescent="0.25">
      <c r="A154" s="27"/>
      <c r="B154" s="3" t="s">
        <v>141</v>
      </c>
      <c r="C154" s="23" t="s">
        <v>68</v>
      </c>
      <c r="D154" s="19" t="s">
        <v>110</v>
      </c>
      <c r="E154" s="19">
        <v>41740</v>
      </c>
      <c r="F154" s="79">
        <v>44546.87</v>
      </c>
      <c r="G154" s="79">
        <v>6682.03</v>
      </c>
      <c r="H154" s="79">
        <v>44546.87</v>
      </c>
      <c r="I154" s="79">
        <v>6682.03</v>
      </c>
      <c r="J154" s="79"/>
      <c r="K154" s="5"/>
      <c r="L154" s="18"/>
      <c r="M154" s="18"/>
      <c r="N154" s="26"/>
      <c r="O154" s="80">
        <f t="shared" si="14"/>
        <v>-9.0949470177292824E-13</v>
      </c>
    </row>
    <row r="155" spans="1:15" x14ac:dyDescent="0.25">
      <c r="A155" s="27"/>
      <c r="B155" s="3" t="s">
        <v>80</v>
      </c>
      <c r="C155" s="23" t="s">
        <v>81</v>
      </c>
      <c r="D155" s="19" t="s">
        <v>110</v>
      </c>
      <c r="E155" s="19">
        <v>41746</v>
      </c>
      <c r="F155" s="79">
        <v>90987.56</v>
      </c>
      <c r="G155" s="79">
        <v>13648</v>
      </c>
      <c r="H155" s="79">
        <v>90987.56</v>
      </c>
      <c r="I155" s="79">
        <v>13648</v>
      </c>
      <c r="J155" s="79"/>
      <c r="K155" s="5"/>
      <c r="L155" s="18"/>
      <c r="M155" s="18"/>
      <c r="N155" s="26"/>
      <c r="O155" s="80">
        <f t="shared" si="14"/>
        <v>0</v>
      </c>
    </row>
    <row r="156" spans="1:15" x14ac:dyDescent="0.25">
      <c r="A156" s="27"/>
      <c r="B156" s="3" t="s">
        <v>73</v>
      </c>
      <c r="C156" s="23" t="s">
        <v>74</v>
      </c>
      <c r="D156" s="19" t="s">
        <v>147</v>
      </c>
      <c r="E156" s="19">
        <v>41747</v>
      </c>
      <c r="F156" s="79">
        <v>62.44</v>
      </c>
      <c r="G156" s="79">
        <v>4970.34</v>
      </c>
      <c r="H156" s="79">
        <v>62.44</v>
      </c>
      <c r="I156" s="79">
        <v>4918.87</v>
      </c>
      <c r="J156" s="79"/>
      <c r="K156" s="5">
        <f>G156-I156</f>
        <v>51.470000000000255</v>
      </c>
      <c r="L156" s="18"/>
      <c r="M156" s="18"/>
      <c r="N156" s="26"/>
      <c r="O156" s="80">
        <f t="shared" si="14"/>
        <v>0</v>
      </c>
    </row>
    <row r="157" spans="1:15" x14ac:dyDescent="0.25">
      <c r="A157" s="27"/>
      <c r="B157" s="3" t="s">
        <v>55</v>
      </c>
      <c r="C157" s="23" t="s">
        <v>56</v>
      </c>
      <c r="D157" s="19" t="s">
        <v>111</v>
      </c>
      <c r="E157" s="19">
        <v>41750</v>
      </c>
      <c r="F157" s="79">
        <v>143244.57999999999</v>
      </c>
      <c r="G157" s="79">
        <v>26503.65</v>
      </c>
      <c r="H157" s="79">
        <v>143244.57999999999</v>
      </c>
      <c r="I157" s="79">
        <v>26503.65</v>
      </c>
      <c r="J157" s="79"/>
      <c r="K157" s="5">
        <f t="shared" ref="K157" si="18">G157-I157</f>
        <v>0</v>
      </c>
      <c r="L157" s="18"/>
      <c r="M157" s="18"/>
      <c r="N157" s="26"/>
      <c r="O157" s="80">
        <f t="shared" si="14"/>
        <v>-7.2759576141834259E-12</v>
      </c>
    </row>
    <row r="158" spans="1:15" x14ac:dyDescent="0.25">
      <c r="A158" s="27"/>
      <c r="B158" s="3" t="s">
        <v>133</v>
      </c>
      <c r="C158" s="23" t="s">
        <v>15</v>
      </c>
      <c r="D158" s="19" t="s">
        <v>147</v>
      </c>
      <c r="E158" s="19">
        <v>41750</v>
      </c>
      <c r="F158" s="79">
        <v>18170.740000000002</v>
      </c>
      <c r="G158" s="79">
        <v>2036.62</v>
      </c>
      <c r="H158" s="79">
        <v>18170.740000000002</v>
      </c>
      <c r="I158" s="79">
        <v>2036.62</v>
      </c>
      <c r="J158" s="79"/>
      <c r="K158" s="5"/>
      <c r="L158" s="18"/>
      <c r="M158" s="18"/>
      <c r="N158" s="26"/>
      <c r="O158" s="80">
        <f t="shared" si="14"/>
        <v>-9.0949470177292824E-13</v>
      </c>
    </row>
    <row r="159" spans="1:15" x14ac:dyDescent="0.25">
      <c r="A159" s="27"/>
      <c r="B159" s="3" t="s">
        <v>61</v>
      </c>
      <c r="C159" s="23" t="s">
        <v>62</v>
      </c>
      <c r="D159" s="19" t="s">
        <v>110</v>
      </c>
      <c r="E159" s="19">
        <v>41751</v>
      </c>
      <c r="F159" s="79">
        <v>35724.43</v>
      </c>
      <c r="G159" s="79">
        <v>4192.6400000000003</v>
      </c>
      <c r="H159" s="79">
        <v>35724.43</v>
      </c>
      <c r="I159" s="79">
        <v>4192.6400000000003</v>
      </c>
      <c r="J159" s="79"/>
      <c r="K159" s="5"/>
      <c r="L159" s="18"/>
      <c r="M159" s="18"/>
      <c r="N159" s="26"/>
      <c r="O159" s="80">
        <f t="shared" si="14"/>
        <v>-9.0949470177292824E-13</v>
      </c>
    </row>
    <row r="160" spans="1:15" x14ac:dyDescent="0.25">
      <c r="A160" s="27"/>
      <c r="B160" s="3" t="s">
        <v>35</v>
      </c>
      <c r="C160" s="23" t="s">
        <v>36</v>
      </c>
      <c r="D160" s="19" t="s">
        <v>110</v>
      </c>
      <c r="E160" s="19">
        <v>41751</v>
      </c>
      <c r="F160" s="79">
        <v>13625.61</v>
      </c>
      <c r="G160" s="79">
        <v>1626.19</v>
      </c>
      <c r="H160" s="79">
        <v>13625.61</v>
      </c>
      <c r="I160" s="79">
        <v>1626.19</v>
      </c>
      <c r="J160" s="79"/>
      <c r="K160" s="5"/>
      <c r="L160" s="18"/>
      <c r="M160" s="18"/>
      <c r="N160" s="26"/>
      <c r="O160" s="80">
        <f t="shared" si="14"/>
        <v>4.5474735088646412E-13</v>
      </c>
    </row>
    <row r="161" spans="1:15" x14ac:dyDescent="0.25">
      <c r="A161" s="27"/>
      <c r="B161" s="3" t="s">
        <v>22</v>
      </c>
      <c r="C161" s="23" t="s">
        <v>23</v>
      </c>
      <c r="D161" s="19" t="s">
        <v>110</v>
      </c>
      <c r="E161" s="19">
        <v>41752</v>
      </c>
      <c r="F161" s="79">
        <v>50540.23</v>
      </c>
      <c r="G161" s="79">
        <v>5160.1400000000003</v>
      </c>
      <c r="H161" s="79">
        <v>50540.23</v>
      </c>
      <c r="I161" s="79">
        <v>5160.1400000000003</v>
      </c>
      <c r="J161" s="79"/>
      <c r="K161" s="5"/>
      <c r="L161" s="18"/>
      <c r="M161" s="18"/>
      <c r="N161" s="26"/>
      <c r="O161" s="80">
        <f t="shared" si="14"/>
        <v>-9.0949470177292824E-13</v>
      </c>
    </row>
    <row r="162" spans="1:15" x14ac:dyDescent="0.25">
      <c r="A162" s="27"/>
      <c r="B162" s="3" t="s">
        <v>134</v>
      </c>
      <c r="C162" s="23" t="s">
        <v>25</v>
      </c>
      <c r="D162" s="19" t="s">
        <v>110</v>
      </c>
      <c r="E162" s="19">
        <v>41752</v>
      </c>
      <c r="F162" s="79">
        <v>5573.9</v>
      </c>
      <c r="G162" s="79">
        <v>1237.5</v>
      </c>
      <c r="H162" s="79">
        <v>5573.9</v>
      </c>
      <c r="I162" s="79">
        <v>1237.5</v>
      </c>
      <c r="J162" s="79"/>
      <c r="K162" s="5">
        <f>G162-I162</f>
        <v>0</v>
      </c>
      <c r="L162" s="18"/>
      <c r="M162" s="18"/>
      <c r="N162" s="26"/>
      <c r="O162" s="80">
        <f t="shared" si="14"/>
        <v>0</v>
      </c>
    </row>
    <row r="163" spans="1:15" x14ac:dyDescent="0.25">
      <c r="A163" s="27"/>
      <c r="B163" s="3" t="s">
        <v>82</v>
      </c>
      <c r="C163" s="23" t="s">
        <v>83</v>
      </c>
      <c r="D163" s="19" t="s">
        <v>147</v>
      </c>
      <c r="E163" s="19">
        <v>41754</v>
      </c>
      <c r="F163" s="79">
        <v>11084.45</v>
      </c>
      <c r="G163" s="79">
        <v>384.15</v>
      </c>
      <c r="H163" s="79">
        <v>11084.45</v>
      </c>
      <c r="I163" s="79">
        <v>384.15</v>
      </c>
      <c r="J163" s="79"/>
      <c r="K163" s="5"/>
      <c r="L163" s="18"/>
      <c r="M163" s="18"/>
      <c r="N163" s="26"/>
      <c r="O163" s="80">
        <f t="shared" si="14"/>
        <v>-3.4106051316484809E-13</v>
      </c>
    </row>
    <row r="164" spans="1:15" x14ac:dyDescent="0.25">
      <c r="A164" s="27"/>
      <c r="B164" s="3" t="s">
        <v>43</v>
      </c>
      <c r="C164" s="23" t="s">
        <v>44</v>
      </c>
      <c r="D164" s="19" t="s">
        <v>110</v>
      </c>
      <c r="E164" s="19">
        <v>41757</v>
      </c>
      <c r="F164" s="79">
        <v>52245.61</v>
      </c>
      <c r="G164" s="79">
        <v>0</v>
      </c>
      <c r="H164" s="79">
        <v>52245.61</v>
      </c>
      <c r="I164" s="79">
        <v>0</v>
      </c>
      <c r="J164" s="79"/>
      <c r="K164" s="5"/>
      <c r="L164" s="18"/>
      <c r="M164" s="18"/>
      <c r="N164" s="26"/>
      <c r="O164" s="80">
        <f t="shared" si="14"/>
        <v>0</v>
      </c>
    </row>
    <row r="165" spans="1:15" x14ac:dyDescent="0.25">
      <c r="A165" s="27"/>
      <c r="B165" s="3" t="s">
        <v>89</v>
      </c>
      <c r="C165" s="23" t="s">
        <v>97</v>
      </c>
      <c r="D165" s="19" t="s">
        <v>147</v>
      </c>
      <c r="E165" s="19">
        <v>41755</v>
      </c>
      <c r="F165" s="79">
        <v>22.5</v>
      </c>
      <c r="G165" s="79">
        <v>0</v>
      </c>
      <c r="H165" s="79">
        <v>0</v>
      </c>
      <c r="I165" s="79">
        <v>0</v>
      </c>
      <c r="J165" s="79"/>
      <c r="K165" s="5"/>
      <c r="L165" s="18"/>
      <c r="M165" s="18"/>
      <c r="N165" s="26">
        <f>F165+G165</f>
        <v>22.5</v>
      </c>
      <c r="O165" s="80">
        <f t="shared" si="14"/>
        <v>0</v>
      </c>
    </row>
    <row r="166" spans="1:15" x14ac:dyDescent="0.25">
      <c r="A166" s="27"/>
      <c r="B166" s="3" t="s">
        <v>6</v>
      </c>
      <c r="C166" s="23" t="s">
        <v>7</v>
      </c>
      <c r="D166" s="19" t="s">
        <v>110</v>
      </c>
      <c r="E166" s="19">
        <v>41757</v>
      </c>
      <c r="F166" s="79">
        <v>29052.6</v>
      </c>
      <c r="G166" s="79">
        <v>7203</v>
      </c>
      <c r="H166" s="79">
        <v>29052.6</v>
      </c>
      <c r="I166" s="79">
        <v>4357.8900000000003</v>
      </c>
      <c r="J166" s="79"/>
      <c r="K166" s="5">
        <f t="shared" ref="K166:K167" si="19">G166-I166</f>
        <v>2845.1099999999997</v>
      </c>
      <c r="L166" s="18"/>
      <c r="M166" s="18"/>
      <c r="N166" s="26"/>
      <c r="O166" s="80">
        <f t="shared" si="14"/>
        <v>0</v>
      </c>
    </row>
    <row r="167" spans="1:15" x14ac:dyDescent="0.25">
      <c r="A167" s="27"/>
      <c r="B167" s="3" t="s">
        <v>6</v>
      </c>
      <c r="C167" s="23" t="s">
        <v>9</v>
      </c>
      <c r="D167" s="19" t="s">
        <v>110</v>
      </c>
      <c r="E167" s="19">
        <v>41757</v>
      </c>
      <c r="F167" s="79">
        <v>27184.84</v>
      </c>
      <c r="G167" s="79">
        <v>7100.51</v>
      </c>
      <c r="H167" s="79">
        <v>27184.84</v>
      </c>
      <c r="I167" s="79">
        <f>4077.73+395.75</f>
        <v>4473.4799999999996</v>
      </c>
      <c r="J167" s="79"/>
      <c r="K167" s="5">
        <f t="shared" si="19"/>
        <v>2627.0300000000007</v>
      </c>
      <c r="L167" s="18"/>
      <c r="M167" s="18"/>
      <c r="N167" s="26"/>
      <c r="O167" s="80">
        <f t="shared" si="14"/>
        <v>-1.8189894035458565E-12</v>
      </c>
    </row>
    <row r="168" spans="1:15" x14ac:dyDescent="0.25">
      <c r="A168" s="27"/>
      <c r="B168" s="3" t="s">
        <v>6</v>
      </c>
      <c r="C168" s="23" t="s">
        <v>17</v>
      </c>
      <c r="D168" s="19" t="s">
        <v>110</v>
      </c>
      <c r="E168" s="19">
        <v>41757</v>
      </c>
      <c r="F168" s="79">
        <v>14547.24</v>
      </c>
      <c r="G168" s="79">
        <v>796.78</v>
      </c>
      <c r="H168" s="79">
        <v>14547.24</v>
      </c>
      <c r="I168" s="79">
        <v>796.78</v>
      </c>
      <c r="J168" s="79"/>
      <c r="K168" s="5">
        <v>0</v>
      </c>
      <c r="L168" s="18"/>
      <c r="M168" s="18"/>
      <c r="N168" s="26"/>
      <c r="O168" s="80">
        <f t="shared" si="14"/>
        <v>6.8212102632969618E-13</v>
      </c>
    </row>
    <row r="169" spans="1:15" x14ac:dyDescent="0.25">
      <c r="A169" s="27"/>
      <c r="B169" s="3" t="s">
        <v>6</v>
      </c>
      <c r="C169" s="23" t="s">
        <v>30</v>
      </c>
      <c r="D169" s="19" t="s">
        <v>110</v>
      </c>
      <c r="E169" s="19">
        <v>41757</v>
      </c>
      <c r="F169" s="79">
        <v>25255.54</v>
      </c>
      <c r="G169" s="79">
        <v>2846.68</v>
      </c>
      <c r="H169" s="79">
        <v>25255.54</v>
      </c>
      <c r="I169" s="79">
        <v>2846.68</v>
      </c>
      <c r="J169" s="79"/>
      <c r="K169" s="5">
        <f t="shared" ref="K169:K170" si="20">G169-I169</f>
        <v>0</v>
      </c>
      <c r="L169" s="18"/>
      <c r="M169" s="18"/>
      <c r="N169" s="26"/>
      <c r="O169" s="80">
        <f t="shared" si="14"/>
        <v>4.5474735088646412E-13</v>
      </c>
    </row>
    <row r="170" spans="1:15" x14ac:dyDescent="0.25">
      <c r="A170" s="27"/>
      <c r="B170" s="3" t="s">
        <v>6</v>
      </c>
      <c r="C170" s="23" t="s">
        <v>79</v>
      </c>
      <c r="D170" s="19" t="s">
        <v>110</v>
      </c>
      <c r="E170" s="19">
        <v>41757</v>
      </c>
      <c r="F170" s="79">
        <v>20052.27</v>
      </c>
      <c r="G170" s="79">
        <v>3281.88</v>
      </c>
      <c r="H170" s="79">
        <v>20052.27</v>
      </c>
      <c r="I170" s="79">
        <v>3007.84</v>
      </c>
      <c r="J170" s="79"/>
      <c r="K170" s="5">
        <f t="shared" si="20"/>
        <v>274.03999999999996</v>
      </c>
      <c r="L170" s="18"/>
      <c r="M170" s="18"/>
      <c r="N170" s="26"/>
      <c r="O170" s="80">
        <f t="shared" si="14"/>
        <v>9.0949470177292824E-13</v>
      </c>
    </row>
    <row r="171" spans="1:15" x14ac:dyDescent="0.25">
      <c r="A171" s="27"/>
      <c r="B171" s="3" t="s">
        <v>6</v>
      </c>
      <c r="C171" s="23" t="s">
        <v>33</v>
      </c>
      <c r="D171" s="19" t="s">
        <v>110</v>
      </c>
      <c r="E171" s="19">
        <v>41757</v>
      </c>
      <c r="F171" s="79">
        <v>7575</v>
      </c>
      <c r="G171" s="79">
        <v>1470.86</v>
      </c>
      <c r="H171" s="79">
        <v>7575</v>
      </c>
      <c r="I171" s="79">
        <v>1136.25</v>
      </c>
      <c r="J171" s="79"/>
      <c r="K171" s="5">
        <f t="shared" ref="K171" si="21">G171-I171</f>
        <v>334.6099999999999</v>
      </c>
      <c r="L171" s="18"/>
      <c r="M171" s="18"/>
      <c r="N171" s="26"/>
      <c r="O171" s="80">
        <f t="shared" si="14"/>
        <v>6.8212102632969618E-13</v>
      </c>
    </row>
    <row r="172" spans="1:15" x14ac:dyDescent="0.25">
      <c r="A172" s="27"/>
      <c r="B172" s="3" t="s">
        <v>6</v>
      </c>
      <c r="C172" s="23" t="s">
        <v>34</v>
      </c>
      <c r="D172" s="19" t="s">
        <v>110</v>
      </c>
      <c r="E172" s="19">
        <v>41757</v>
      </c>
      <c r="F172" s="79">
        <v>9678.2800000000007</v>
      </c>
      <c r="G172" s="79">
        <v>818.13</v>
      </c>
      <c r="H172" s="79">
        <v>9678.2800000000007</v>
      </c>
      <c r="I172" s="79">
        <v>818.13</v>
      </c>
      <c r="J172" s="79"/>
      <c r="K172" s="5"/>
      <c r="L172" s="18"/>
      <c r="M172" s="18"/>
      <c r="N172" s="26"/>
      <c r="O172" s="80">
        <f t="shared" si="14"/>
        <v>-7.9580786405131221E-13</v>
      </c>
    </row>
    <row r="173" spans="1:15" x14ac:dyDescent="0.25">
      <c r="A173" s="27"/>
      <c r="B173" s="3" t="s">
        <v>6</v>
      </c>
      <c r="C173" s="23" t="s">
        <v>32</v>
      </c>
      <c r="D173" s="19" t="s">
        <v>110</v>
      </c>
      <c r="E173" s="19">
        <v>41757</v>
      </c>
      <c r="F173" s="79">
        <v>4779.95</v>
      </c>
      <c r="G173" s="79">
        <v>3597.18</v>
      </c>
      <c r="H173" s="79">
        <v>4779.95</v>
      </c>
      <c r="I173" s="79">
        <v>716.99</v>
      </c>
      <c r="J173" s="79"/>
      <c r="K173" s="5">
        <f>G173-I173</f>
        <v>2880.1899999999996</v>
      </c>
      <c r="L173" s="18"/>
      <c r="M173" s="18"/>
      <c r="N173" s="26"/>
      <c r="O173" s="80">
        <f t="shared" si="14"/>
        <v>0</v>
      </c>
    </row>
    <row r="174" spans="1:15" x14ac:dyDescent="0.25">
      <c r="A174" s="27"/>
      <c r="B174" s="3" t="s">
        <v>6</v>
      </c>
      <c r="C174" s="23" t="s">
        <v>31</v>
      </c>
      <c r="D174" s="19" t="s">
        <v>110</v>
      </c>
      <c r="E174" s="19">
        <v>41757</v>
      </c>
      <c r="F174" s="79">
        <v>17555.419999999998</v>
      </c>
      <c r="G174" s="79">
        <v>1727.92</v>
      </c>
      <c r="H174" s="79">
        <v>17555.419999999998</v>
      </c>
      <c r="I174" s="79">
        <v>1727.92</v>
      </c>
      <c r="J174" s="79"/>
      <c r="K174" s="5"/>
      <c r="L174" s="18"/>
      <c r="M174" s="18"/>
      <c r="N174" s="26"/>
      <c r="O174" s="80">
        <f t="shared" si="14"/>
        <v>-1.8189894035458565E-12</v>
      </c>
    </row>
    <row r="175" spans="1:15" x14ac:dyDescent="0.25">
      <c r="A175" s="27"/>
      <c r="B175" s="3" t="s">
        <v>6</v>
      </c>
      <c r="C175" s="23" t="s">
        <v>8</v>
      </c>
      <c r="D175" s="19" t="s">
        <v>110</v>
      </c>
      <c r="E175" s="19">
        <v>41757</v>
      </c>
      <c r="F175" s="79">
        <v>54206.27</v>
      </c>
      <c r="G175" s="79">
        <v>8450.0300000000007</v>
      </c>
      <c r="H175" s="79">
        <v>54206.27</v>
      </c>
      <c r="I175" s="79">
        <v>8130.94</v>
      </c>
      <c r="J175" s="79"/>
      <c r="K175" s="5">
        <f>G175-I175</f>
        <v>319.09000000000106</v>
      </c>
      <c r="L175" s="18"/>
      <c r="M175" s="18"/>
      <c r="N175" s="26"/>
      <c r="O175" s="80">
        <f t="shared" si="14"/>
        <v>-1.8189894035458565E-12</v>
      </c>
    </row>
    <row r="176" spans="1:15" x14ac:dyDescent="0.25">
      <c r="A176" s="27"/>
      <c r="B176" s="3" t="s">
        <v>6</v>
      </c>
      <c r="C176" s="23" t="s">
        <v>28</v>
      </c>
      <c r="D176" s="19" t="s">
        <v>110</v>
      </c>
      <c r="E176" s="19">
        <v>41757</v>
      </c>
      <c r="F176" s="79">
        <v>26024.58</v>
      </c>
      <c r="G176" s="79">
        <v>2031.96</v>
      </c>
      <c r="H176" s="79">
        <v>26024.58</v>
      </c>
      <c r="I176" s="79">
        <v>2031.96</v>
      </c>
      <c r="J176" s="79"/>
      <c r="K176" s="5"/>
      <c r="L176" s="18"/>
      <c r="M176" s="18"/>
      <c r="N176" s="26"/>
      <c r="O176" s="80">
        <f t="shared" si="14"/>
        <v>-9.0949470177292824E-13</v>
      </c>
    </row>
    <row r="177" spans="1:15" x14ac:dyDescent="0.25">
      <c r="A177" s="27"/>
      <c r="B177" s="3" t="s">
        <v>6</v>
      </c>
      <c r="C177" s="23" t="s">
        <v>11</v>
      </c>
      <c r="D177" s="19" t="s">
        <v>110</v>
      </c>
      <c r="E177" s="19">
        <v>41757</v>
      </c>
      <c r="F177" s="79">
        <v>159469.04</v>
      </c>
      <c r="G177" s="79">
        <v>15403.73</v>
      </c>
      <c r="H177" s="79">
        <v>159469.04</v>
      </c>
      <c r="I177" s="79">
        <v>15403.73</v>
      </c>
      <c r="J177" s="79"/>
      <c r="K177" s="5">
        <f t="shared" ref="K177" si="22">G177-I177</f>
        <v>0</v>
      </c>
      <c r="L177" s="18"/>
      <c r="M177" s="18"/>
      <c r="N177" s="26"/>
      <c r="O177" s="80">
        <f t="shared" si="14"/>
        <v>1.0913936421275139E-11</v>
      </c>
    </row>
    <row r="178" spans="1:15" x14ac:dyDescent="0.25">
      <c r="A178" s="27"/>
      <c r="B178" s="3" t="s">
        <v>6</v>
      </c>
      <c r="C178" s="23" t="s">
        <v>10</v>
      </c>
      <c r="D178" s="19" t="s">
        <v>110</v>
      </c>
      <c r="E178" s="19">
        <v>41757</v>
      </c>
      <c r="F178" s="79">
        <v>20819.07</v>
      </c>
      <c r="G178" s="79">
        <v>6350.24</v>
      </c>
      <c r="H178" s="79">
        <v>20819.07</v>
      </c>
      <c r="I178" s="79">
        <v>3122.86</v>
      </c>
      <c r="J178" s="79"/>
      <c r="K178" s="5">
        <f>G178-I178</f>
        <v>3227.3799999999997</v>
      </c>
      <c r="L178" s="18"/>
      <c r="M178" s="18"/>
      <c r="N178" s="26"/>
      <c r="O178" s="80">
        <f t="shared" si="14"/>
        <v>-1.8189894035458565E-12</v>
      </c>
    </row>
    <row r="179" spans="1:15" x14ac:dyDescent="0.25">
      <c r="A179" s="27"/>
      <c r="B179" s="3" t="s">
        <v>6</v>
      </c>
      <c r="C179" s="23" t="s">
        <v>29</v>
      </c>
      <c r="D179" s="19" t="s">
        <v>110</v>
      </c>
      <c r="E179" s="19">
        <v>41757</v>
      </c>
      <c r="F179" s="79">
        <v>34309.75</v>
      </c>
      <c r="G179" s="79">
        <v>2448.13</v>
      </c>
      <c r="H179" s="79">
        <v>34309.75</v>
      </c>
      <c r="I179" s="79">
        <v>2448.13</v>
      </c>
      <c r="J179" s="79"/>
      <c r="K179" s="5">
        <v>0</v>
      </c>
      <c r="L179" s="18"/>
      <c r="M179" s="18"/>
      <c r="N179" s="26"/>
      <c r="O179" s="80">
        <f t="shared" si="14"/>
        <v>-2.7284841053187847E-12</v>
      </c>
    </row>
    <row r="180" spans="1:15" x14ac:dyDescent="0.25">
      <c r="A180" s="27"/>
      <c r="B180" s="3" t="s">
        <v>39</v>
      </c>
      <c r="C180" s="23" t="s">
        <v>40</v>
      </c>
      <c r="D180" s="19" t="s">
        <v>110</v>
      </c>
      <c r="E180" s="19">
        <v>41758</v>
      </c>
      <c r="F180" s="79">
        <v>28125.61</v>
      </c>
      <c r="G180" s="79">
        <v>132</v>
      </c>
      <c r="H180" s="79">
        <v>28125.61</v>
      </c>
      <c r="I180" s="79">
        <v>132</v>
      </c>
      <c r="J180" s="79"/>
      <c r="K180" s="5"/>
      <c r="L180" s="18"/>
      <c r="M180" s="18"/>
      <c r="N180" s="26"/>
      <c r="O180" s="80">
        <f t="shared" si="14"/>
        <v>0</v>
      </c>
    </row>
    <row r="181" spans="1:15" x14ac:dyDescent="0.25">
      <c r="A181" s="27"/>
      <c r="B181" s="3" t="s">
        <v>49</v>
      </c>
      <c r="C181" s="23" t="s">
        <v>50</v>
      </c>
      <c r="D181" s="19" t="s">
        <v>110</v>
      </c>
      <c r="E181" s="19">
        <v>41757</v>
      </c>
      <c r="F181" s="79">
        <v>3321.9</v>
      </c>
      <c r="G181" s="79">
        <v>969</v>
      </c>
      <c r="H181" s="79">
        <v>3321.9</v>
      </c>
      <c r="I181" s="79">
        <v>571.38</v>
      </c>
      <c r="J181" s="79"/>
      <c r="K181" s="5">
        <f>G181-I181</f>
        <v>397.62</v>
      </c>
      <c r="L181" s="18"/>
      <c r="M181" s="18"/>
      <c r="N181" s="26"/>
      <c r="O181" s="80">
        <f t="shared" si="14"/>
        <v>-4.5474735088646412E-13</v>
      </c>
    </row>
    <row r="182" spans="1:15" x14ac:dyDescent="0.25">
      <c r="A182" s="27"/>
      <c r="B182" s="3" t="s">
        <v>53</v>
      </c>
      <c r="C182" s="23" t="s">
        <v>54</v>
      </c>
      <c r="D182" s="19" t="s">
        <v>147</v>
      </c>
      <c r="E182" s="19">
        <v>41755</v>
      </c>
      <c r="F182" s="79">
        <v>2437.25</v>
      </c>
      <c r="G182" s="79">
        <v>895.81</v>
      </c>
      <c r="H182" s="79">
        <v>2437.25</v>
      </c>
      <c r="I182" s="79">
        <v>895.81</v>
      </c>
      <c r="J182" s="79"/>
      <c r="K182" s="5"/>
      <c r="L182" s="18"/>
      <c r="M182" s="18"/>
      <c r="N182" s="26"/>
      <c r="O182" s="80">
        <f t="shared" si="14"/>
        <v>0</v>
      </c>
    </row>
    <row r="183" spans="1:15" x14ac:dyDescent="0.25">
      <c r="A183" s="27"/>
      <c r="B183" s="3" t="s">
        <v>84</v>
      </c>
      <c r="C183" s="23" t="s">
        <v>92</v>
      </c>
      <c r="D183" s="19" t="s">
        <v>110</v>
      </c>
      <c r="E183" s="19">
        <v>41758</v>
      </c>
      <c r="F183" s="79">
        <v>34735.040000000001</v>
      </c>
      <c r="G183" s="79">
        <v>5698.91</v>
      </c>
      <c r="H183" s="79">
        <v>34735.040000000001</v>
      </c>
      <c r="I183" s="79">
        <v>5698.91</v>
      </c>
      <c r="J183" s="79"/>
      <c r="K183" s="5"/>
      <c r="L183" s="18"/>
      <c r="M183" s="18"/>
      <c r="N183" s="26"/>
      <c r="O183" s="80">
        <f t="shared" si="14"/>
        <v>-3.637978807091713E-12</v>
      </c>
    </row>
    <row r="184" spans="1:15" x14ac:dyDescent="0.25">
      <c r="A184" s="27"/>
      <c r="B184" s="3" t="s">
        <v>86</v>
      </c>
      <c r="C184" s="23" t="s">
        <v>94</v>
      </c>
      <c r="D184" s="19" t="s">
        <v>147</v>
      </c>
      <c r="E184" s="19">
        <v>41758</v>
      </c>
      <c r="F184" s="79">
        <v>6372.82</v>
      </c>
      <c r="G184" s="79">
        <v>2540.3000000000002</v>
      </c>
      <c r="H184" s="79">
        <v>6372.82</v>
      </c>
      <c r="I184" s="79">
        <v>955.92</v>
      </c>
      <c r="J184" s="79"/>
      <c r="K184" s="5">
        <f>G184-I184</f>
        <v>1584.38</v>
      </c>
      <c r="L184" s="18"/>
      <c r="M184" s="18"/>
      <c r="N184" s="26"/>
      <c r="O184" s="80">
        <f t="shared" si="14"/>
        <v>-9.0949470177292824E-13</v>
      </c>
    </row>
    <row r="185" spans="1:15" x14ac:dyDescent="0.25">
      <c r="A185" s="27"/>
      <c r="B185" s="3" t="s">
        <v>75</v>
      </c>
      <c r="C185" s="23" t="s">
        <v>76</v>
      </c>
      <c r="D185" s="19" t="s">
        <v>110</v>
      </c>
      <c r="E185" s="19">
        <v>41758</v>
      </c>
      <c r="F185" s="79">
        <v>15608.8</v>
      </c>
      <c r="G185" s="79">
        <v>2341.3200000000002</v>
      </c>
      <c r="H185" s="79">
        <v>15608.8</v>
      </c>
      <c r="I185" s="79">
        <v>2341.3200000000002</v>
      </c>
      <c r="J185" s="79"/>
      <c r="K185" s="5"/>
      <c r="L185" s="18"/>
      <c r="M185" s="18"/>
      <c r="N185" s="26"/>
      <c r="O185" s="80">
        <f t="shared" si="14"/>
        <v>-4.5474735088646412E-13</v>
      </c>
    </row>
    <row r="186" spans="1:15" x14ac:dyDescent="0.25">
      <c r="A186" s="27"/>
      <c r="B186" s="3" t="s">
        <v>18</v>
      </c>
      <c r="C186" s="23" t="s">
        <v>19</v>
      </c>
      <c r="D186" s="19" t="s">
        <v>110</v>
      </c>
      <c r="E186" s="19">
        <v>41758</v>
      </c>
      <c r="F186" s="79">
        <v>26338.99</v>
      </c>
      <c r="G186" s="79">
        <v>3300</v>
      </c>
      <c r="H186" s="79">
        <v>26338.99</v>
      </c>
      <c r="I186" s="79">
        <v>3300</v>
      </c>
      <c r="J186" s="79"/>
      <c r="K186" s="5">
        <f>G186-I186</f>
        <v>0</v>
      </c>
      <c r="L186" s="18"/>
      <c r="M186" s="18"/>
      <c r="N186" s="26"/>
      <c r="O186" s="80">
        <f t="shared" si="14"/>
        <v>0</v>
      </c>
    </row>
    <row r="187" spans="1:15" x14ac:dyDescent="0.25">
      <c r="A187" s="27"/>
      <c r="B187" s="3" t="s">
        <v>87</v>
      </c>
      <c r="C187" s="23" t="s">
        <v>95</v>
      </c>
      <c r="D187" s="19" t="s">
        <v>110</v>
      </c>
      <c r="E187" s="19">
        <v>41759</v>
      </c>
      <c r="F187" s="79">
        <v>89146.97</v>
      </c>
      <c r="G187" s="79">
        <v>11703.09</v>
      </c>
      <c r="H187" s="79">
        <v>89146.97</v>
      </c>
      <c r="I187" s="79">
        <v>11703.09</v>
      </c>
      <c r="J187" s="79"/>
      <c r="K187" s="5">
        <v>0</v>
      </c>
      <c r="L187" s="18"/>
      <c r="M187" s="18"/>
      <c r="N187" s="26"/>
      <c r="O187" s="80">
        <f t="shared" si="14"/>
        <v>-3.637978807091713E-12</v>
      </c>
    </row>
    <row r="188" spans="1:15" x14ac:dyDescent="0.25">
      <c r="A188" s="27"/>
      <c r="B188" s="3" t="s">
        <v>59</v>
      </c>
      <c r="C188" s="23" t="s">
        <v>60</v>
      </c>
      <c r="D188" s="19" t="s">
        <v>110</v>
      </c>
      <c r="E188" s="19">
        <v>41759</v>
      </c>
      <c r="F188" s="79">
        <v>15013.24</v>
      </c>
      <c r="G188" s="79">
        <v>1870.44</v>
      </c>
      <c r="H188" s="79">
        <v>15013.24</v>
      </c>
      <c r="I188" s="79">
        <v>1870.44</v>
      </c>
      <c r="J188" s="79"/>
      <c r="K188" s="5"/>
      <c r="L188" s="18"/>
      <c r="M188" s="18"/>
      <c r="N188" s="26"/>
      <c r="O188" s="80">
        <f t="shared" si="14"/>
        <v>4.5474735088646412E-13</v>
      </c>
    </row>
    <row r="189" spans="1:15" x14ac:dyDescent="0.25">
      <c r="A189" s="27"/>
      <c r="B189" s="3" t="s">
        <v>142</v>
      </c>
      <c r="C189" s="23" t="s">
        <v>72</v>
      </c>
      <c r="D189" s="19" t="s">
        <v>110</v>
      </c>
      <c r="E189" s="19">
        <v>41759</v>
      </c>
      <c r="F189" s="79">
        <v>39483.61</v>
      </c>
      <c r="G189" s="79">
        <v>0</v>
      </c>
      <c r="H189" s="79">
        <v>39483.61</v>
      </c>
      <c r="I189" s="79">
        <v>0</v>
      </c>
      <c r="J189" s="79"/>
      <c r="K189" s="5"/>
      <c r="L189" s="18"/>
      <c r="M189" s="18"/>
      <c r="N189" s="26"/>
      <c r="O189" s="80">
        <f t="shared" si="14"/>
        <v>0</v>
      </c>
    </row>
    <row r="190" spans="1:15" x14ac:dyDescent="0.25">
      <c r="A190" s="27"/>
      <c r="B190" s="3" t="s">
        <v>37</v>
      </c>
      <c r="C190" s="23" t="s">
        <v>38</v>
      </c>
      <c r="D190" s="19" t="s">
        <v>110</v>
      </c>
      <c r="E190" s="19">
        <v>41759</v>
      </c>
      <c r="F190" s="79">
        <v>3135</v>
      </c>
      <c r="G190" s="79">
        <v>4065</v>
      </c>
      <c r="H190" s="79">
        <v>3135</v>
      </c>
      <c r="I190" s="79">
        <v>470.25</v>
      </c>
      <c r="J190" s="79"/>
      <c r="K190" s="5">
        <f>G190-I190</f>
        <v>3594.75</v>
      </c>
      <c r="L190" s="18"/>
      <c r="M190" s="18"/>
      <c r="N190" s="26"/>
      <c r="O190" s="80">
        <f t="shared" si="14"/>
        <v>0</v>
      </c>
    </row>
    <row r="191" spans="1:15" x14ac:dyDescent="0.25">
      <c r="A191" s="27"/>
      <c r="B191" s="3" t="s">
        <v>20</v>
      </c>
      <c r="C191" s="23" t="s">
        <v>21</v>
      </c>
      <c r="D191" s="19" t="s">
        <v>147</v>
      </c>
      <c r="E191" s="19">
        <v>41759</v>
      </c>
      <c r="F191" s="79">
        <v>945.79</v>
      </c>
      <c r="G191" s="79">
        <v>0</v>
      </c>
      <c r="H191" s="79">
        <v>945.79</v>
      </c>
      <c r="I191" s="79">
        <v>0</v>
      </c>
      <c r="J191" s="79"/>
      <c r="K191" s="5"/>
      <c r="L191" s="18"/>
      <c r="M191" s="18"/>
      <c r="N191" s="26"/>
      <c r="O191" s="80">
        <f t="shared" si="14"/>
        <v>0</v>
      </c>
    </row>
    <row r="192" spans="1:15" x14ac:dyDescent="0.25">
      <c r="A192" s="27"/>
      <c r="B192" s="3" t="s">
        <v>85</v>
      </c>
      <c r="C192" s="23" t="s">
        <v>93</v>
      </c>
      <c r="D192" s="19" t="s">
        <v>147</v>
      </c>
      <c r="E192" s="19">
        <v>41760</v>
      </c>
      <c r="F192" s="79">
        <v>6458.11</v>
      </c>
      <c r="G192" s="79">
        <v>3757.1</v>
      </c>
      <c r="H192" s="79">
        <v>6458.11</v>
      </c>
      <c r="I192" s="79">
        <v>968.72</v>
      </c>
      <c r="J192" s="79"/>
      <c r="K192" s="5">
        <f t="shared" ref="K192:K193" si="23">G192-I192</f>
        <v>2788.38</v>
      </c>
      <c r="L192" s="18"/>
      <c r="M192" s="18"/>
      <c r="N192" s="26"/>
      <c r="O192" s="80">
        <f t="shared" si="14"/>
        <v>-9.0949470177292824E-13</v>
      </c>
    </row>
    <row r="193" spans="1:15" x14ac:dyDescent="0.25">
      <c r="A193" s="27"/>
      <c r="B193" s="3" t="s">
        <v>51</v>
      </c>
      <c r="C193" s="23" t="s">
        <v>52</v>
      </c>
      <c r="D193" s="19" t="s">
        <v>149</v>
      </c>
      <c r="E193" s="19">
        <v>41768</v>
      </c>
      <c r="F193" s="79">
        <v>6860.42</v>
      </c>
      <c r="G193" s="79">
        <v>1033</v>
      </c>
      <c r="H193" s="79">
        <v>6860.42</v>
      </c>
      <c r="I193" s="79">
        <v>1029.06</v>
      </c>
      <c r="J193" s="79"/>
      <c r="K193" s="5">
        <f t="shared" si="23"/>
        <v>3.9400000000000546</v>
      </c>
      <c r="L193" s="18"/>
      <c r="M193" s="18"/>
      <c r="N193" s="26"/>
      <c r="O193" s="80">
        <f t="shared" si="14"/>
        <v>0</v>
      </c>
    </row>
    <row r="194" spans="1:15" x14ac:dyDescent="0.25">
      <c r="A194" s="27"/>
      <c r="B194" s="3" t="s">
        <v>73</v>
      </c>
      <c r="C194" s="23" t="s">
        <v>74</v>
      </c>
      <c r="D194" s="19" t="s">
        <v>149</v>
      </c>
      <c r="E194" s="19">
        <v>41771</v>
      </c>
      <c r="F194" s="79">
        <v>0</v>
      </c>
      <c r="G194" s="79">
        <v>34.770000000000003</v>
      </c>
      <c r="H194" s="79"/>
      <c r="I194" s="79"/>
      <c r="J194" s="79"/>
      <c r="K194" s="5">
        <f>G194</f>
        <v>34.770000000000003</v>
      </c>
      <c r="L194" s="18"/>
      <c r="M194" s="18"/>
      <c r="N194" s="26"/>
      <c r="O194" s="80">
        <f t="shared" si="14"/>
        <v>0</v>
      </c>
    </row>
    <row r="195" spans="1:15" x14ac:dyDescent="0.25">
      <c r="A195" s="27"/>
      <c r="B195" s="3" t="s">
        <v>53</v>
      </c>
      <c r="C195" s="23" t="s">
        <v>54</v>
      </c>
      <c r="D195" s="19" t="s">
        <v>149</v>
      </c>
      <c r="E195" s="19">
        <v>41773</v>
      </c>
      <c r="F195" s="79">
        <v>28026.32</v>
      </c>
      <c r="G195" s="79">
        <v>878.46</v>
      </c>
      <c r="H195" s="79">
        <v>28026.32</v>
      </c>
      <c r="I195" s="79">
        <v>878.46</v>
      </c>
      <c r="J195" s="79"/>
      <c r="K195" s="5"/>
      <c r="L195" s="18"/>
      <c r="M195" s="18"/>
      <c r="N195" s="26"/>
      <c r="O195" s="80">
        <f t="shared" si="14"/>
        <v>-9.0949470177292824E-13</v>
      </c>
    </row>
    <row r="196" spans="1:15" x14ac:dyDescent="0.25">
      <c r="A196" s="27"/>
      <c r="B196" s="3" t="s">
        <v>6</v>
      </c>
      <c r="C196" s="23" t="s">
        <v>34</v>
      </c>
      <c r="D196" s="19" t="s">
        <v>112</v>
      </c>
      <c r="E196" s="19">
        <v>41773</v>
      </c>
      <c r="F196" s="79">
        <v>0</v>
      </c>
      <c r="G196" s="79">
        <v>3179.35</v>
      </c>
      <c r="H196" s="79">
        <v>0</v>
      </c>
      <c r="I196" s="79">
        <f>633.61+267.24</f>
        <v>900.85</v>
      </c>
      <c r="J196" s="79"/>
      <c r="K196" s="5">
        <f>G196-I196</f>
        <v>2278.5</v>
      </c>
      <c r="L196" s="18"/>
      <c r="M196" s="18"/>
      <c r="N196" s="26"/>
      <c r="O196" s="80">
        <f t="shared" si="14"/>
        <v>0</v>
      </c>
    </row>
    <row r="197" spans="1:15" x14ac:dyDescent="0.25">
      <c r="A197" s="27"/>
      <c r="B197" s="3" t="s">
        <v>6</v>
      </c>
      <c r="C197" s="23" t="s">
        <v>34</v>
      </c>
      <c r="D197" s="19" t="s">
        <v>111</v>
      </c>
      <c r="E197" s="19">
        <v>41773</v>
      </c>
      <c r="F197" s="79">
        <v>0</v>
      </c>
      <c r="G197" s="79">
        <v>1882</v>
      </c>
      <c r="H197" s="79">
        <v>0</v>
      </c>
      <c r="I197" s="79"/>
      <c r="J197" s="79"/>
      <c r="K197" s="5">
        <f>G197-I197</f>
        <v>1882</v>
      </c>
      <c r="L197" s="18"/>
      <c r="M197" s="18"/>
      <c r="N197" s="26"/>
      <c r="O197" s="80">
        <f t="shared" ref="O197:O260" si="24">(F197+G197)-H197-I197-J197-K197-L197-M197-N197</f>
        <v>0</v>
      </c>
    </row>
    <row r="198" spans="1:15" x14ac:dyDescent="0.25">
      <c r="A198" s="27"/>
      <c r="B198" s="3" t="s">
        <v>20</v>
      </c>
      <c r="C198" s="23" t="s">
        <v>21</v>
      </c>
      <c r="D198" s="19" t="s">
        <v>149</v>
      </c>
      <c r="E198" s="19">
        <v>41777</v>
      </c>
      <c r="F198" s="79">
        <v>2761.4</v>
      </c>
      <c r="G198" s="79">
        <v>0</v>
      </c>
      <c r="H198" s="79">
        <v>2761.4</v>
      </c>
      <c r="I198" s="79">
        <v>0</v>
      </c>
      <c r="J198" s="79"/>
      <c r="K198" s="5"/>
      <c r="L198" s="18"/>
      <c r="M198" s="18"/>
      <c r="N198" s="26"/>
      <c r="O198" s="80">
        <f t="shared" si="24"/>
        <v>0</v>
      </c>
    </row>
    <row r="199" spans="1:15" x14ac:dyDescent="0.25">
      <c r="A199" s="27"/>
      <c r="B199" s="3" t="s">
        <v>82</v>
      </c>
      <c r="C199" s="23" t="s">
        <v>83</v>
      </c>
      <c r="D199" s="19" t="s">
        <v>149</v>
      </c>
      <c r="E199" s="19">
        <v>41781</v>
      </c>
      <c r="F199" s="79">
        <v>2610.87</v>
      </c>
      <c r="G199" s="79">
        <v>570.04999999999995</v>
      </c>
      <c r="H199" s="79">
        <v>2610.87</v>
      </c>
      <c r="I199" s="79">
        <v>391.63</v>
      </c>
      <c r="J199" s="79"/>
      <c r="K199" s="5">
        <f>G199-I199</f>
        <v>178.41999999999996</v>
      </c>
      <c r="L199" s="18"/>
      <c r="M199" s="18"/>
      <c r="N199" s="26"/>
      <c r="O199" s="80">
        <f t="shared" si="24"/>
        <v>2.2737367544323206E-13</v>
      </c>
    </row>
    <row r="200" spans="1:15" x14ac:dyDescent="0.25">
      <c r="A200" s="27"/>
      <c r="B200" s="3" t="s">
        <v>89</v>
      </c>
      <c r="C200" s="23" t="s">
        <v>97</v>
      </c>
      <c r="D200" s="19" t="s">
        <v>149</v>
      </c>
      <c r="E200" s="19">
        <v>41788</v>
      </c>
      <c r="F200" s="79">
        <v>19697.28</v>
      </c>
      <c r="G200" s="79">
        <v>0</v>
      </c>
      <c r="H200" s="79">
        <v>19697.28</v>
      </c>
      <c r="I200" s="79">
        <v>0</v>
      </c>
      <c r="J200" s="79"/>
      <c r="K200" s="5"/>
      <c r="L200" s="18"/>
      <c r="M200" s="18"/>
      <c r="N200" s="26"/>
      <c r="O200" s="80">
        <f t="shared" si="24"/>
        <v>0</v>
      </c>
    </row>
    <row r="201" spans="1:15" x14ac:dyDescent="0.25">
      <c r="A201" s="27"/>
      <c r="B201" s="3" t="s">
        <v>133</v>
      </c>
      <c r="C201" s="23" t="s">
        <v>15</v>
      </c>
      <c r="D201" s="19" t="s">
        <v>149</v>
      </c>
      <c r="E201" s="19">
        <v>41788</v>
      </c>
      <c r="F201" s="79">
        <v>12447.49</v>
      </c>
      <c r="G201" s="79">
        <v>1612.69</v>
      </c>
      <c r="H201" s="79">
        <v>12447.49</v>
      </c>
      <c r="I201" s="79">
        <v>1612.69</v>
      </c>
      <c r="J201" s="79"/>
      <c r="K201" s="5"/>
      <c r="L201" s="18"/>
      <c r="M201" s="18"/>
      <c r="N201" s="26"/>
      <c r="O201" s="80">
        <f t="shared" si="24"/>
        <v>4.5474735088646412E-13</v>
      </c>
    </row>
    <row r="202" spans="1:15" x14ac:dyDescent="0.25">
      <c r="A202" s="27"/>
      <c r="B202" s="3" t="s">
        <v>85</v>
      </c>
      <c r="C202" s="23" t="s">
        <v>93</v>
      </c>
      <c r="D202" s="19" t="s">
        <v>149</v>
      </c>
      <c r="E202" s="19">
        <v>41789</v>
      </c>
      <c r="F202" s="79">
        <v>10228.02</v>
      </c>
      <c r="G202" s="79">
        <v>4513.0200000000004</v>
      </c>
      <c r="H202" s="79">
        <v>10228.02</v>
      </c>
      <c r="I202" s="79">
        <v>1534.2</v>
      </c>
      <c r="J202" s="79"/>
      <c r="K202" s="5">
        <f t="shared" ref="K202:K203" si="25">G202-I202</f>
        <v>2978.8200000000006</v>
      </c>
      <c r="L202" s="18"/>
      <c r="M202" s="18"/>
      <c r="N202" s="26"/>
      <c r="O202" s="80">
        <f t="shared" si="24"/>
        <v>0</v>
      </c>
    </row>
    <row r="203" spans="1:15" x14ac:dyDescent="0.25">
      <c r="A203" s="27"/>
      <c r="B203" s="3" t="s">
        <v>148</v>
      </c>
      <c r="C203" s="23" t="s">
        <v>94</v>
      </c>
      <c r="D203" s="19" t="s">
        <v>149</v>
      </c>
      <c r="E203" s="19">
        <v>41789</v>
      </c>
      <c r="F203" s="79">
        <v>1816.97</v>
      </c>
      <c r="G203" s="79">
        <v>282</v>
      </c>
      <c r="H203" s="79">
        <v>1816.97</v>
      </c>
      <c r="I203" s="79">
        <v>272.55</v>
      </c>
      <c r="J203" s="79"/>
      <c r="K203" s="5">
        <f t="shared" si="25"/>
        <v>9.4499999999999886</v>
      </c>
      <c r="L203" s="18"/>
      <c r="M203" s="18"/>
      <c r="N203" s="26"/>
      <c r="O203" s="80">
        <f t="shared" si="24"/>
        <v>2.2737367544323206E-13</v>
      </c>
    </row>
    <row r="204" spans="1:15" x14ac:dyDescent="0.25">
      <c r="A204" s="27"/>
      <c r="B204" s="3" t="s">
        <v>41</v>
      </c>
      <c r="C204" s="23" t="s">
        <v>42</v>
      </c>
      <c r="D204" s="19" t="s">
        <v>112</v>
      </c>
      <c r="E204" s="19">
        <v>41793</v>
      </c>
      <c r="F204" s="79">
        <v>17808.79</v>
      </c>
      <c r="G204" s="79">
        <v>2059.02</v>
      </c>
      <c r="H204" s="79">
        <v>-1569.02</v>
      </c>
      <c r="I204" s="79">
        <v>1772.67</v>
      </c>
      <c r="J204" s="79"/>
      <c r="K204" s="5"/>
      <c r="L204" s="18"/>
      <c r="M204" s="18"/>
      <c r="N204" s="26">
        <v>19664.16</v>
      </c>
      <c r="O204" s="80">
        <f t="shared" si="24"/>
        <v>0</v>
      </c>
    </row>
    <row r="205" spans="1:15" x14ac:dyDescent="0.25">
      <c r="A205" s="27"/>
      <c r="B205" s="3" t="s">
        <v>41</v>
      </c>
      <c r="C205" s="23" t="s">
        <v>42</v>
      </c>
      <c r="D205" s="19" t="s">
        <v>111</v>
      </c>
      <c r="E205" s="19">
        <v>41793</v>
      </c>
      <c r="F205" s="79">
        <v>6483.85</v>
      </c>
      <c r="G205" s="79">
        <v>150</v>
      </c>
      <c r="H205" s="79">
        <v>-9409.02</v>
      </c>
      <c r="I205" s="79">
        <v>0</v>
      </c>
      <c r="J205" s="79"/>
      <c r="K205" s="5"/>
      <c r="L205" s="18"/>
      <c r="M205" s="18"/>
      <c r="N205" s="26">
        <v>16042.87</v>
      </c>
      <c r="O205" s="80">
        <f t="shared" si="24"/>
        <v>0</v>
      </c>
    </row>
    <row r="206" spans="1:15" x14ac:dyDescent="0.25">
      <c r="A206" s="27"/>
      <c r="B206" s="3" t="s">
        <v>41</v>
      </c>
      <c r="C206" s="23" t="s">
        <v>42</v>
      </c>
      <c r="D206" s="19" t="s">
        <v>110</v>
      </c>
      <c r="E206" s="19">
        <v>41793</v>
      </c>
      <c r="F206" s="79">
        <v>11724.94</v>
      </c>
      <c r="G206" s="79">
        <v>150</v>
      </c>
      <c r="H206" s="79">
        <v>11724.94</v>
      </c>
      <c r="I206" s="79">
        <v>150</v>
      </c>
      <c r="J206" s="79"/>
      <c r="K206" s="5"/>
      <c r="L206" s="18"/>
      <c r="M206" s="18"/>
      <c r="N206" s="26"/>
      <c r="O206" s="80">
        <f t="shared" si="24"/>
        <v>0</v>
      </c>
    </row>
    <row r="207" spans="1:15" x14ac:dyDescent="0.25">
      <c r="A207" s="27"/>
      <c r="B207" s="3" t="s">
        <v>55</v>
      </c>
      <c r="C207" s="23" t="s">
        <v>56</v>
      </c>
      <c r="D207" s="19" t="s">
        <v>110</v>
      </c>
      <c r="E207" s="19">
        <v>41793</v>
      </c>
      <c r="F207" s="79">
        <v>169421.84</v>
      </c>
      <c r="G207" s="79">
        <v>33012.17</v>
      </c>
      <c r="H207" s="79">
        <v>169421.84</v>
      </c>
      <c r="I207" s="79">
        <v>33012.17</v>
      </c>
      <c r="J207" s="79"/>
      <c r="K207" s="5">
        <f t="shared" ref="K207" si="26">G207-I207</f>
        <v>0</v>
      </c>
      <c r="L207" s="18"/>
      <c r="M207" s="18"/>
      <c r="N207" s="26"/>
      <c r="O207" s="80">
        <f t="shared" si="24"/>
        <v>1.4551915228366852E-11</v>
      </c>
    </row>
    <row r="208" spans="1:15" x14ac:dyDescent="0.25">
      <c r="A208" s="27"/>
      <c r="B208" s="3" t="s">
        <v>69</v>
      </c>
      <c r="C208" s="23" t="s">
        <v>70</v>
      </c>
      <c r="D208" s="19" t="s">
        <v>110</v>
      </c>
      <c r="E208" s="19">
        <v>41795</v>
      </c>
      <c r="F208" s="79">
        <v>423.12</v>
      </c>
      <c r="G208" s="79">
        <v>1373.81</v>
      </c>
      <c r="H208" s="79">
        <v>423.12</v>
      </c>
      <c r="I208" s="79">
        <v>63.47</v>
      </c>
      <c r="J208" s="79"/>
      <c r="K208" s="5">
        <f>G208-I208</f>
        <v>1310.3399999999999</v>
      </c>
      <c r="L208" s="18"/>
      <c r="M208" s="18"/>
      <c r="N208" s="26"/>
      <c r="O208" s="80">
        <f t="shared" si="24"/>
        <v>0</v>
      </c>
    </row>
    <row r="209" spans="1:15" x14ac:dyDescent="0.25">
      <c r="A209" s="27"/>
      <c r="B209" s="3" t="s">
        <v>53</v>
      </c>
      <c r="C209" s="23" t="s">
        <v>54</v>
      </c>
      <c r="D209" s="19" t="s">
        <v>150</v>
      </c>
      <c r="E209" s="19">
        <v>41808</v>
      </c>
      <c r="F209" s="79">
        <v>40080.980000000003</v>
      </c>
      <c r="G209" s="79">
        <v>1180.1199999999999</v>
      </c>
      <c r="H209" s="79">
        <v>40080.980000000003</v>
      </c>
      <c r="I209" s="79">
        <v>1180.1199999999999</v>
      </c>
      <c r="J209" s="79"/>
      <c r="K209" s="5"/>
      <c r="L209" s="18"/>
      <c r="M209" s="18"/>
      <c r="N209" s="26"/>
      <c r="O209" s="80">
        <f t="shared" si="24"/>
        <v>2.7284841053187847E-12</v>
      </c>
    </row>
    <row r="210" spans="1:15" x14ac:dyDescent="0.25">
      <c r="A210" s="27"/>
      <c r="B210" s="3" t="s">
        <v>82</v>
      </c>
      <c r="C210" s="23" t="s">
        <v>83</v>
      </c>
      <c r="D210" s="19" t="s">
        <v>150</v>
      </c>
      <c r="E210" s="19">
        <v>41810</v>
      </c>
      <c r="F210" s="79">
        <v>7633.24</v>
      </c>
      <c r="G210" s="79">
        <v>526.5</v>
      </c>
      <c r="H210" s="79">
        <v>7633.24</v>
      </c>
      <c r="I210" s="79">
        <v>526.5</v>
      </c>
      <c r="J210" s="79"/>
      <c r="K210" s="5"/>
      <c r="L210" s="18"/>
      <c r="M210" s="18"/>
      <c r="N210" s="26"/>
      <c r="O210" s="80">
        <f t="shared" si="24"/>
        <v>0</v>
      </c>
    </row>
    <row r="211" spans="1:15" x14ac:dyDescent="0.25">
      <c r="A211" s="27"/>
      <c r="B211" s="3" t="s">
        <v>51</v>
      </c>
      <c r="C211" s="23" t="s">
        <v>52</v>
      </c>
      <c r="D211" s="19" t="s">
        <v>150</v>
      </c>
      <c r="E211" s="19">
        <v>41814</v>
      </c>
      <c r="F211" s="79">
        <v>7124.23</v>
      </c>
      <c r="G211" s="79">
        <v>1072.25</v>
      </c>
      <c r="H211" s="79">
        <v>7124.23</v>
      </c>
      <c r="I211" s="79">
        <v>1068.6300000000001</v>
      </c>
      <c r="J211" s="79"/>
      <c r="K211" s="5">
        <f t="shared" ref="K211" si="27">G211-I211</f>
        <v>3.6199999999998909</v>
      </c>
      <c r="L211" s="18"/>
      <c r="M211" s="18"/>
      <c r="N211" s="26"/>
      <c r="O211" s="80">
        <f t="shared" si="24"/>
        <v>0</v>
      </c>
    </row>
    <row r="212" spans="1:15" x14ac:dyDescent="0.25">
      <c r="A212" s="27"/>
      <c r="B212" s="3" t="s">
        <v>133</v>
      </c>
      <c r="C212" s="23" t="s">
        <v>15</v>
      </c>
      <c r="D212" s="19" t="s">
        <v>151</v>
      </c>
      <c r="E212" s="19">
        <v>41816</v>
      </c>
      <c r="F212" s="79">
        <v>15935.96</v>
      </c>
      <c r="G212" s="79">
        <v>960.63</v>
      </c>
      <c r="H212" s="79">
        <v>15935.96</v>
      </c>
      <c r="I212" s="79">
        <v>960.63</v>
      </c>
      <c r="J212" s="79"/>
      <c r="K212" s="5"/>
      <c r="L212" s="18"/>
      <c r="M212" s="18"/>
      <c r="N212" s="26"/>
      <c r="O212" s="80">
        <f t="shared" si="24"/>
        <v>1.0231815394945443E-12</v>
      </c>
    </row>
    <row r="213" spans="1:15" x14ac:dyDescent="0.25">
      <c r="A213" s="27"/>
      <c r="B213" s="3" t="s">
        <v>148</v>
      </c>
      <c r="C213" s="23" t="s">
        <v>94</v>
      </c>
      <c r="D213" s="19" t="s">
        <v>150</v>
      </c>
      <c r="E213" s="19">
        <v>41817</v>
      </c>
      <c r="F213" s="79">
        <v>7470.76</v>
      </c>
      <c r="G213" s="79">
        <v>629</v>
      </c>
      <c r="H213" s="79">
        <v>7470.76</v>
      </c>
      <c r="I213" s="79">
        <v>629</v>
      </c>
      <c r="J213" s="79"/>
      <c r="K213" s="5"/>
      <c r="L213" s="18"/>
      <c r="M213" s="18"/>
      <c r="N213" s="26"/>
      <c r="O213" s="80">
        <f t="shared" si="24"/>
        <v>0</v>
      </c>
    </row>
    <row r="214" spans="1:15" x14ac:dyDescent="0.25">
      <c r="A214" s="27"/>
      <c r="B214" s="3" t="s">
        <v>89</v>
      </c>
      <c r="C214" s="23" t="s">
        <v>97</v>
      </c>
      <c r="D214" s="19" t="s">
        <v>150</v>
      </c>
      <c r="E214" s="19">
        <v>41817</v>
      </c>
      <c r="F214" s="79">
        <v>10901.54</v>
      </c>
      <c r="G214" s="79">
        <v>0</v>
      </c>
      <c r="H214" s="79">
        <v>10901.54</v>
      </c>
      <c r="I214" s="79">
        <v>0</v>
      </c>
      <c r="J214" s="79"/>
      <c r="K214" s="5"/>
      <c r="L214" s="18"/>
      <c r="M214" s="18"/>
      <c r="N214" s="26"/>
      <c r="O214" s="80">
        <f t="shared" si="24"/>
        <v>0</v>
      </c>
    </row>
    <row r="215" spans="1:15" x14ac:dyDescent="0.25">
      <c r="A215" s="27"/>
      <c r="B215" s="3" t="s">
        <v>20</v>
      </c>
      <c r="C215" s="23" t="s">
        <v>21</v>
      </c>
      <c r="D215" s="19" t="s">
        <v>150</v>
      </c>
      <c r="E215" s="19">
        <v>41820</v>
      </c>
      <c r="F215" s="79">
        <v>4759.05</v>
      </c>
      <c r="G215" s="79">
        <v>19332</v>
      </c>
      <c r="H215" s="79">
        <v>4759.05</v>
      </c>
      <c r="I215" s="79">
        <v>713.86</v>
      </c>
      <c r="J215" s="79"/>
      <c r="K215" s="5">
        <f>G215-I215</f>
        <v>18618.14</v>
      </c>
      <c r="L215" s="18"/>
      <c r="M215" s="18"/>
      <c r="N215" s="26"/>
      <c r="O215" s="80">
        <f t="shared" si="24"/>
        <v>0</v>
      </c>
    </row>
    <row r="216" spans="1:15" x14ac:dyDescent="0.25">
      <c r="A216" s="27"/>
      <c r="B216" s="3" t="s">
        <v>85</v>
      </c>
      <c r="C216" s="23" t="s">
        <v>93</v>
      </c>
      <c r="D216" s="19" t="s">
        <v>150</v>
      </c>
      <c r="E216" s="19">
        <v>41820</v>
      </c>
      <c r="F216" s="79">
        <v>14048.54</v>
      </c>
      <c r="G216" s="79">
        <v>4313.45</v>
      </c>
      <c r="H216" s="79">
        <v>14048.54</v>
      </c>
      <c r="I216" s="79">
        <v>2107.2800000000002</v>
      </c>
      <c r="J216" s="79"/>
      <c r="K216" s="5">
        <f>G216-I216</f>
        <v>2206.1699999999996</v>
      </c>
      <c r="L216" s="18"/>
      <c r="M216" s="18"/>
      <c r="N216" s="26"/>
      <c r="O216" s="80">
        <f t="shared" si="24"/>
        <v>9.0949470177292824E-13</v>
      </c>
    </row>
    <row r="217" spans="1:15" x14ac:dyDescent="0.25">
      <c r="A217" s="27"/>
      <c r="B217" s="3" t="s">
        <v>12</v>
      </c>
      <c r="C217" s="23" t="s">
        <v>13</v>
      </c>
      <c r="D217" s="19" t="s">
        <v>150</v>
      </c>
      <c r="E217" s="19">
        <v>41822</v>
      </c>
      <c r="F217" s="79">
        <v>9579.6</v>
      </c>
      <c r="G217" s="79">
        <v>5980.94</v>
      </c>
      <c r="H217" s="79">
        <v>9579.6</v>
      </c>
      <c r="I217" s="79">
        <v>5980.94</v>
      </c>
      <c r="J217" s="79"/>
      <c r="K217" s="5"/>
      <c r="L217" s="18"/>
      <c r="M217" s="18"/>
      <c r="N217" s="26"/>
      <c r="O217" s="80">
        <f t="shared" si="24"/>
        <v>9.0949470177292824E-13</v>
      </c>
    </row>
    <row r="218" spans="1:15" x14ac:dyDescent="0.25">
      <c r="A218" s="27"/>
      <c r="B218" s="3" t="s">
        <v>73</v>
      </c>
      <c r="C218" s="23" t="s">
        <v>74</v>
      </c>
      <c r="D218" s="19" t="s">
        <v>150</v>
      </c>
      <c r="E218" s="19">
        <v>41828</v>
      </c>
      <c r="F218" s="79">
        <v>0</v>
      </c>
      <c r="G218" s="79">
        <v>225.95</v>
      </c>
      <c r="H218" s="79"/>
      <c r="I218" s="79"/>
      <c r="J218" s="79"/>
      <c r="K218" s="5">
        <f>G218+F218</f>
        <v>225.95</v>
      </c>
      <c r="L218" s="18"/>
      <c r="M218" s="18"/>
      <c r="N218" s="26"/>
      <c r="O218" s="80">
        <f t="shared" si="24"/>
        <v>0</v>
      </c>
    </row>
    <row r="219" spans="1:15" x14ac:dyDescent="0.25">
      <c r="A219" s="27"/>
      <c r="B219" s="3" t="s">
        <v>41</v>
      </c>
      <c r="C219" s="23" t="s">
        <v>42</v>
      </c>
      <c r="D219" s="19" t="s">
        <v>152</v>
      </c>
      <c r="E219" s="19">
        <v>41822</v>
      </c>
      <c r="F219" s="79">
        <v>3752.55</v>
      </c>
      <c r="G219" s="79">
        <v>150</v>
      </c>
      <c r="H219" s="79">
        <v>3752.55</v>
      </c>
      <c r="I219" s="79">
        <v>150</v>
      </c>
      <c r="J219" s="79"/>
      <c r="K219" s="5"/>
      <c r="L219" s="18"/>
      <c r="M219" s="18"/>
      <c r="N219" s="26"/>
      <c r="O219" s="80">
        <f t="shared" si="24"/>
        <v>0</v>
      </c>
    </row>
    <row r="220" spans="1:15" x14ac:dyDescent="0.25">
      <c r="A220" s="27"/>
      <c r="B220" s="3" t="s">
        <v>12</v>
      </c>
      <c r="C220" s="23" t="s">
        <v>13</v>
      </c>
      <c r="D220" s="19" t="s">
        <v>153</v>
      </c>
      <c r="E220" s="19">
        <v>41827</v>
      </c>
      <c r="F220" s="79">
        <v>41899.279999999999</v>
      </c>
      <c r="G220" s="79">
        <v>7074.08</v>
      </c>
      <c r="H220" s="79">
        <f>41899.28-499</f>
        <v>41400.28</v>
      </c>
      <c r="I220" s="79">
        <v>7074.08</v>
      </c>
      <c r="J220" s="79"/>
      <c r="K220" s="5"/>
      <c r="L220" s="18"/>
      <c r="M220" s="18"/>
      <c r="N220" s="26">
        <f>F220-H220</f>
        <v>499</v>
      </c>
      <c r="O220" s="80">
        <f t="shared" si="24"/>
        <v>1.8189894035458565E-12</v>
      </c>
    </row>
    <row r="221" spans="1:15" x14ac:dyDescent="0.25">
      <c r="A221" s="27"/>
      <c r="B221" s="3" t="s">
        <v>89</v>
      </c>
      <c r="C221" s="23" t="s">
        <v>97</v>
      </c>
      <c r="D221" s="19" t="s">
        <v>153</v>
      </c>
      <c r="E221" s="19">
        <v>41830</v>
      </c>
      <c r="F221" s="79">
        <v>18282.150000000001</v>
      </c>
      <c r="G221" s="79">
        <v>137.34</v>
      </c>
      <c r="H221" s="79">
        <v>18282.150000000001</v>
      </c>
      <c r="I221" s="79">
        <v>137.34</v>
      </c>
      <c r="J221" s="79"/>
      <c r="K221" s="5"/>
      <c r="L221" s="18"/>
      <c r="M221" s="18"/>
      <c r="N221" s="26"/>
      <c r="O221" s="80">
        <f t="shared" si="24"/>
        <v>1.4210854715202004E-13</v>
      </c>
    </row>
    <row r="222" spans="1:15" x14ac:dyDescent="0.25">
      <c r="A222" s="27"/>
      <c r="B222" s="3" t="s">
        <v>53</v>
      </c>
      <c r="C222" s="23" t="s">
        <v>54</v>
      </c>
      <c r="D222" s="19" t="s">
        <v>153</v>
      </c>
      <c r="E222" s="19">
        <v>41830</v>
      </c>
      <c r="F222" s="79">
        <v>20001.52</v>
      </c>
      <c r="G222" s="79">
        <v>1043.1199999999999</v>
      </c>
      <c r="H222" s="79">
        <v>20001.52</v>
      </c>
      <c r="I222" s="79">
        <v>1043.1199999999999</v>
      </c>
      <c r="J222" s="79"/>
      <c r="K222" s="5"/>
      <c r="L222" s="18"/>
      <c r="M222" s="18"/>
      <c r="N222" s="26"/>
      <c r="O222" s="80">
        <f t="shared" si="24"/>
        <v>-9.0949470177292824E-13</v>
      </c>
    </row>
    <row r="223" spans="1:15" x14ac:dyDescent="0.25">
      <c r="A223" s="27"/>
      <c r="B223" s="3" t="s">
        <v>51</v>
      </c>
      <c r="C223" s="23" t="s">
        <v>52</v>
      </c>
      <c r="D223" s="19" t="s">
        <v>153</v>
      </c>
      <c r="E223" s="19">
        <v>41830</v>
      </c>
      <c r="F223" s="79">
        <v>4473.1000000000004</v>
      </c>
      <c r="G223" s="79">
        <v>1012.5</v>
      </c>
      <c r="H223" s="79">
        <v>4473.1000000000004</v>
      </c>
      <c r="I223" s="79">
        <v>670.97</v>
      </c>
      <c r="J223" s="79"/>
      <c r="K223" s="5">
        <f t="shared" ref="K223" si="28">G223-I223</f>
        <v>341.53</v>
      </c>
      <c r="L223" s="18"/>
      <c r="M223" s="18"/>
      <c r="N223" s="26"/>
      <c r="O223" s="80">
        <f t="shared" si="24"/>
        <v>0</v>
      </c>
    </row>
    <row r="224" spans="1:15" x14ac:dyDescent="0.25">
      <c r="A224" s="27"/>
      <c r="B224" s="3" t="s">
        <v>80</v>
      </c>
      <c r="C224" s="23" t="s">
        <v>81</v>
      </c>
      <c r="D224" s="19" t="s">
        <v>152</v>
      </c>
      <c r="E224" s="19">
        <v>41830</v>
      </c>
      <c r="F224" s="79">
        <v>30554.1</v>
      </c>
      <c r="G224" s="79">
        <v>0</v>
      </c>
      <c r="H224" s="79">
        <v>30554.1</v>
      </c>
      <c r="I224" s="79"/>
      <c r="J224" s="79"/>
      <c r="K224" s="5"/>
      <c r="L224" s="18"/>
      <c r="M224" s="18"/>
      <c r="N224" s="26"/>
      <c r="O224" s="80">
        <f t="shared" si="24"/>
        <v>0</v>
      </c>
    </row>
    <row r="225" spans="1:15" x14ac:dyDescent="0.25">
      <c r="A225" s="27"/>
      <c r="B225" s="3" t="s">
        <v>82</v>
      </c>
      <c r="C225" s="23" t="s">
        <v>83</v>
      </c>
      <c r="D225" s="19" t="s">
        <v>153</v>
      </c>
      <c r="E225" s="19">
        <v>41834</v>
      </c>
      <c r="F225" s="79">
        <v>6224.77</v>
      </c>
      <c r="G225" s="79">
        <v>1248</v>
      </c>
      <c r="H225" s="79">
        <v>6224.77</v>
      </c>
      <c r="I225" s="79">
        <v>933.72</v>
      </c>
      <c r="J225" s="79"/>
      <c r="K225" s="5">
        <f>G225-I225</f>
        <v>314.27999999999997</v>
      </c>
      <c r="L225" s="18"/>
      <c r="M225" s="18"/>
      <c r="N225" s="26"/>
      <c r="O225" s="80">
        <f t="shared" si="24"/>
        <v>0</v>
      </c>
    </row>
    <row r="226" spans="1:15" x14ac:dyDescent="0.25">
      <c r="A226" s="27"/>
      <c r="B226" s="3" t="s">
        <v>35</v>
      </c>
      <c r="C226" s="23" t="s">
        <v>36</v>
      </c>
      <c r="D226" s="19" t="s">
        <v>152</v>
      </c>
      <c r="E226" s="19">
        <v>41845</v>
      </c>
      <c r="F226" s="79">
        <v>22090.74</v>
      </c>
      <c r="G226" s="79">
        <v>2205.2600000000002</v>
      </c>
      <c r="H226" s="79">
        <v>22090.74</v>
      </c>
      <c r="I226" s="79">
        <v>2205.2600000000002</v>
      </c>
      <c r="J226" s="79"/>
      <c r="K226" s="5"/>
      <c r="L226" s="18"/>
      <c r="M226" s="18"/>
      <c r="N226" s="26"/>
      <c r="O226" s="80">
        <f t="shared" si="24"/>
        <v>-1.8189894035458565E-12</v>
      </c>
    </row>
    <row r="227" spans="1:15" x14ac:dyDescent="0.25">
      <c r="A227" s="27"/>
      <c r="B227" s="3" t="s">
        <v>43</v>
      </c>
      <c r="C227" s="23" t="s">
        <v>44</v>
      </c>
      <c r="D227" s="19" t="s">
        <v>152</v>
      </c>
      <c r="E227" s="19">
        <v>41838</v>
      </c>
      <c r="F227" s="79">
        <v>47403.42</v>
      </c>
      <c r="G227" s="79">
        <v>0</v>
      </c>
      <c r="H227" s="79">
        <v>47403.42</v>
      </c>
      <c r="I227" s="79">
        <v>0</v>
      </c>
      <c r="J227" s="79"/>
      <c r="K227" s="5"/>
      <c r="L227" s="18"/>
      <c r="M227" s="18"/>
      <c r="N227" s="26"/>
      <c r="O227" s="80">
        <f t="shared" si="24"/>
        <v>0</v>
      </c>
    </row>
    <row r="228" spans="1:15" x14ac:dyDescent="0.25">
      <c r="A228" s="27"/>
      <c r="B228" s="3" t="s">
        <v>37</v>
      </c>
      <c r="C228" s="23" t="s">
        <v>38</v>
      </c>
      <c r="D228" s="19" t="s">
        <v>152</v>
      </c>
      <c r="E228" s="19">
        <v>41842</v>
      </c>
      <c r="F228" s="79">
        <v>7858.95</v>
      </c>
      <c r="G228" s="79">
        <v>2925</v>
      </c>
      <c r="H228" s="79">
        <v>7858.95</v>
      </c>
      <c r="I228" s="79">
        <v>1178.8399999999999</v>
      </c>
      <c r="J228" s="79"/>
      <c r="K228" s="5">
        <f>G228-I228</f>
        <v>1746.16</v>
      </c>
      <c r="L228" s="18"/>
      <c r="M228" s="18"/>
      <c r="N228" s="26"/>
      <c r="O228" s="80">
        <f t="shared" si="24"/>
        <v>9.0949470177292824E-13</v>
      </c>
    </row>
    <row r="229" spans="1:15" x14ac:dyDescent="0.25">
      <c r="A229" s="27"/>
      <c r="B229" s="3" t="s">
        <v>141</v>
      </c>
      <c r="C229" s="23" t="s">
        <v>68</v>
      </c>
      <c r="D229" s="19" t="s">
        <v>152</v>
      </c>
      <c r="E229" s="19">
        <v>41843</v>
      </c>
      <c r="F229" s="79">
        <v>63629.2</v>
      </c>
      <c r="G229" s="79">
        <v>9544.3799999999992</v>
      </c>
      <c r="H229" s="79">
        <v>63629.2</v>
      </c>
      <c r="I229" s="79">
        <v>9544.3799999999992</v>
      </c>
      <c r="J229" s="79"/>
      <c r="K229" s="5"/>
      <c r="L229" s="18"/>
      <c r="M229" s="18"/>
      <c r="N229" s="26"/>
      <c r="O229" s="80">
        <f t="shared" si="24"/>
        <v>5.4569682106375694E-12</v>
      </c>
    </row>
    <row r="230" spans="1:15" x14ac:dyDescent="0.25">
      <c r="A230" s="27"/>
      <c r="B230" s="3" t="s">
        <v>49</v>
      </c>
      <c r="C230" s="23" t="s">
        <v>50</v>
      </c>
      <c r="D230" s="19" t="s">
        <v>152</v>
      </c>
      <c r="E230" s="19">
        <v>41845</v>
      </c>
      <c r="F230" s="79">
        <v>8467</v>
      </c>
      <c r="G230" s="79">
        <v>578</v>
      </c>
      <c r="H230" s="79">
        <v>8467</v>
      </c>
      <c r="I230" s="79">
        <v>578</v>
      </c>
      <c r="J230" s="79"/>
      <c r="K230" s="5"/>
      <c r="L230" s="18"/>
      <c r="M230" s="18"/>
      <c r="N230" s="26"/>
      <c r="O230" s="80">
        <f t="shared" si="24"/>
        <v>0</v>
      </c>
    </row>
    <row r="231" spans="1:15" x14ac:dyDescent="0.25">
      <c r="A231" s="27"/>
      <c r="B231" s="3" t="s">
        <v>134</v>
      </c>
      <c r="C231" s="23" t="s">
        <v>25</v>
      </c>
      <c r="D231" s="19" t="s">
        <v>152</v>
      </c>
      <c r="E231" s="19">
        <v>41845</v>
      </c>
      <c r="F231" s="79">
        <v>14147.26</v>
      </c>
      <c r="G231" s="79">
        <v>1400</v>
      </c>
      <c r="H231" s="79">
        <v>14147.26</v>
      </c>
      <c r="I231" s="79">
        <v>1400</v>
      </c>
      <c r="J231" s="79"/>
      <c r="K231" s="5"/>
      <c r="L231" s="18"/>
      <c r="M231" s="18"/>
      <c r="N231" s="26"/>
      <c r="O231" s="80">
        <f t="shared" si="24"/>
        <v>0</v>
      </c>
    </row>
    <row r="232" spans="1:15" x14ac:dyDescent="0.25">
      <c r="A232" s="27"/>
      <c r="B232" s="3" t="s">
        <v>59</v>
      </c>
      <c r="C232" s="23" t="s">
        <v>60</v>
      </c>
      <c r="D232" s="19" t="s">
        <v>152</v>
      </c>
      <c r="E232" s="19">
        <v>41848</v>
      </c>
      <c r="F232" s="79">
        <v>49177.32</v>
      </c>
      <c r="G232" s="79">
        <v>2565.4899999999998</v>
      </c>
      <c r="H232" s="79">
        <v>49177.32</v>
      </c>
      <c r="I232" s="79">
        <v>2565.4899999999998</v>
      </c>
      <c r="J232" s="79"/>
      <c r="K232" s="5"/>
      <c r="L232" s="18"/>
      <c r="M232" s="18"/>
      <c r="N232" s="26"/>
      <c r="O232" s="80">
        <f t="shared" si="24"/>
        <v>-1.8189894035458565E-12</v>
      </c>
    </row>
    <row r="233" spans="1:15" x14ac:dyDescent="0.25">
      <c r="A233" s="27"/>
      <c r="B233" s="3" t="s">
        <v>18</v>
      </c>
      <c r="C233" s="23" t="s">
        <v>19</v>
      </c>
      <c r="D233" s="19" t="s">
        <v>152</v>
      </c>
      <c r="E233" s="19">
        <v>41848</v>
      </c>
      <c r="F233" s="79">
        <v>27667.200000000001</v>
      </c>
      <c r="G233" s="79">
        <v>4500</v>
      </c>
      <c r="H233" s="79">
        <v>27667.200000000001</v>
      </c>
      <c r="I233" s="79">
        <v>4150.08</v>
      </c>
      <c r="J233" s="79"/>
      <c r="K233" s="5">
        <f>G233-I233</f>
        <v>349.92000000000007</v>
      </c>
      <c r="L233" s="18"/>
      <c r="M233" s="18"/>
      <c r="N233" s="26"/>
      <c r="O233" s="80">
        <f t="shared" si="24"/>
        <v>0</v>
      </c>
    </row>
    <row r="234" spans="1:15" x14ac:dyDescent="0.25">
      <c r="A234" s="27"/>
      <c r="B234" s="3" t="s">
        <v>65</v>
      </c>
      <c r="C234" s="23" t="s">
        <v>66</v>
      </c>
      <c r="D234" s="19" t="s">
        <v>110</v>
      </c>
      <c r="E234" s="19">
        <v>41848</v>
      </c>
      <c r="F234" s="79">
        <v>7866.99</v>
      </c>
      <c r="G234" s="79">
        <v>865.34</v>
      </c>
      <c r="H234" s="79">
        <v>7866.99</v>
      </c>
      <c r="I234" s="79">
        <v>865.34</v>
      </c>
      <c r="J234" s="79"/>
      <c r="K234" s="5"/>
      <c r="L234" s="18"/>
      <c r="M234" s="18"/>
      <c r="N234" s="26"/>
      <c r="O234" s="80">
        <f t="shared" si="24"/>
        <v>1.1368683772161603E-13</v>
      </c>
    </row>
    <row r="235" spans="1:15" x14ac:dyDescent="0.25">
      <c r="A235" s="27"/>
      <c r="B235" s="3" t="s">
        <v>65</v>
      </c>
      <c r="C235" s="23" t="s">
        <v>66</v>
      </c>
      <c r="D235" s="19" t="s">
        <v>152</v>
      </c>
      <c r="E235" s="19">
        <v>41848</v>
      </c>
      <c r="F235" s="79">
        <v>70207.320000000007</v>
      </c>
      <c r="G235" s="79">
        <v>7722.78</v>
      </c>
      <c r="H235" s="79">
        <v>70207.320000000007</v>
      </c>
      <c r="I235" s="79">
        <v>7722.78</v>
      </c>
      <c r="J235" s="79"/>
      <c r="K235" s="5"/>
      <c r="L235" s="18"/>
      <c r="M235" s="18"/>
      <c r="N235" s="26"/>
      <c r="O235" s="80">
        <f t="shared" si="24"/>
        <v>-9.0949470177292824E-13</v>
      </c>
    </row>
    <row r="236" spans="1:15" x14ac:dyDescent="0.25">
      <c r="A236" s="27"/>
      <c r="B236" s="3" t="s">
        <v>6</v>
      </c>
      <c r="C236" s="23" t="s">
        <v>28</v>
      </c>
      <c r="D236" s="19" t="s">
        <v>152</v>
      </c>
      <c r="E236" s="19">
        <v>41848</v>
      </c>
      <c r="F236" s="79">
        <v>13876.25</v>
      </c>
      <c r="G236" s="79">
        <v>2200.1</v>
      </c>
      <c r="H236" s="79">
        <v>13876.25</v>
      </c>
      <c r="I236" s="79">
        <v>2081.4299999999998</v>
      </c>
      <c r="J236" s="79"/>
      <c r="K236" s="5">
        <f>G236-I236</f>
        <v>118.67000000000007</v>
      </c>
      <c r="L236" s="18"/>
      <c r="M236" s="18"/>
      <c r="N236" s="26"/>
      <c r="O236" s="80">
        <f t="shared" si="24"/>
        <v>4.5474735088646412E-13</v>
      </c>
    </row>
    <row r="237" spans="1:15" x14ac:dyDescent="0.25">
      <c r="A237" s="27"/>
      <c r="B237" s="3" t="s">
        <v>6</v>
      </c>
      <c r="C237" s="23" t="s">
        <v>8</v>
      </c>
      <c r="D237" s="19" t="s">
        <v>152</v>
      </c>
      <c r="E237" s="19">
        <v>41848</v>
      </c>
      <c r="F237" s="79">
        <v>50362.81</v>
      </c>
      <c r="G237" s="79">
        <v>8359.61</v>
      </c>
      <c r="H237" s="79">
        <v>50362.81</v>
      </c>
      <c r="I237" s="79">
        <v>7554.42</v>
      </c>
      <c r="J237" s="79"/>
      <c r="K237" s="5">
        <f>G237-I237</f>
        <v>805.19000000000051</v>
      </c>
      <c r="L237" s="18"/>
      <c r="M237" s="18"/>
      <c r="N237" s="26"/>
      <c r="O237" s="80">
        <f t="shared" si="24"/>
        <v>0</v>
      </c>
    </row>
    <row r="238" spans="1:15" x14ac:dyDescent="0.25">
      <c r="A238" s="27"/>
      <c r="B238" s="3" t="s">
        <v>6</v>
      </c>
      <c r="C238" s="23" t="s">
        <v>17</v>
      </c>
      <c r="D238" s="19" t="s">
        <v>152</v>
      </c>
      <c r="E238" s="19">
        <v>41848</v>
      </c>
      <c r="F238" s="79">
        <v>16186.48</v>
      </c>
      <c r="G238" s="79">
        <v>1514.68</v>
      </c>
      <c r="H238" s="79">
        <v>16186.48</v>
      </c>
      <c r="I238" s="79">
        <v>1514.68</v>
      </c>
      <c r="J238" s="79"/>
      <c r="K238" s="5">
        <v>0</v>
      </c>
      <c r="L238" s="18"/>
      <c r="M238" s="18"/>
      <c r="N238" s="26"/>
      <c r="O238" s="80">
        <f t="shared" si="24"/>
        <v>2.2737367544323206E-13</v>
      </c>
    </row>
    <row r="239" spans="1:15" x14ac:dyDescent="0.25">
      <c r="A239" s="27"/>
      <c r="B239" s="3" t="s">
        <v>6</v>
      </c>
      <c r="C239" s="23" t="s">
        <v>29</v>
      </c>
      <c r="D239" s="19" t="s">
        <v>152</v>
      </c>
      <c r="E239" s="19">
        <v>41848</v>
      </c>
      <c r="F239" s="79">
        <v>21564.35</v>
      </c>
      <c r="G239" s="79">
        <v>2599.5</v>
      </c>
      <c r="H239" s="79">
        <v>21564.35</v>
      </c>
      <c r="I239" s="79">
        <v>2599.5</v>
      </c>
      <c r="J239" s="79"/>
      <c r="K239" s="5">
        <v>0</v>
      </c>
      <c r="L239" s="18"/>
      <c r="M239" s="18"/>
      <c r="N239" s="26"/>
      <c r="O239" s="80">
        <f t="shared" si="24"/>
        <v>0</v>
      </c>
    </row>
    <row r="240" spans="1:15" x14ac:dyDescent="0.25">
      <c r="A240" s="27"/>
      <c r="B240" s="3" t="s">
        <v>6</v>
      </c>
      <c r="C240" s="23" t="s">
        <v>30</v>
      </c>
      <c r="D240" s="19" t="s">
        <v>152</v>
      </c>
      <c r="E240" s="19">
        <v>41848</v>
      </c>
      <c r="F240" s="79">
        <v>19019.89</v>
      </c>
      <c r="G240" s="79">
        <v>2982</v>
      </c>
      <c r="H240" s="79">
        <v>19019.89</v>
      </c>
      <c r="I240" s="79">
        <v>2852.98</v>
      </c>
      <c r="J240" s="79"/>
      <c r="K240" s="5">
        <f t="shared" ref="K240" si="29">G240-I240</f>
        <v>129.01999999999998</v>
      </c>
      <c r="L240" s="18"/>
      <c r="M240" s="18"/>
      <c r="N240" s="26"/>
      <c r="O240" s="80">
        <f t="shared" si="24"/>
        <v>0</v>
      </c>
    </row>
    <row r="241" spans="1:15" x14ac:dyDescent="0.25">
      <c r="A241" s="27"/>
      <c r="B241" s="3" t="s">
        <v>6</v>
      </c>
      <c r="C241" s="23" t="s">
        <v>7</v>
      </c>
      <c r="D241" s="19" t="s">
        <v>152</v>
      </c>
      <c r="E241" s="19">
        <v>41848</v>
      </c>
      <c r="F241" s="79">
        <v>58980.07</v>
      </c>
      <c r="G241" s="79">
        <v>7162.81</v>
      </c>
      <c r="H241" s="79">
        <v>58980.07</v>
      </c>
      <c r="I241" s="79">
        <v>7162.81</v>
      </c>
      <c r="J241" s="79"/>
      <c r="K241" s="5"/>
      <c r="L241" s="18"/>
      <c r="M241" s="18"/>
      <c r="N241" s="26"/>
      <c r="O241" s="80">
        <f t="shared" si="24"/>
        <v>4.5474735088646412E-12</v>
      </c>
    </row>
    <row r="242" spans="1:15" x14ac:dyDescent="0.25">
      <c r="A242" s="27"/>
      <c r="B242" s="3" t="s">
        <v>6</v>
      </c>
      <c r="C242" s="23" t="s">
        <v>79</v>
      </c>
      <c r="D242" s="19" t="s">
        <v>152</v>
      </c>
      <c r="E242" s="19">
        <v>41848</v>
      </c>
      <c r="F242" s="79">
        <v>21802.53</v>
      </c>
      <c r="G242" s="79">
        <v>3399.67</v>
      </c>
      <c r="H242" s="79">
        <v>21802.53</v>
      </c>
      <c r="I242" s="79">
        <v>3270.38</v>
      </c>
      <c r="J242" s="79"/>
      <c r="K242" s="5">
        <f t="shared" ref="K242" si="30">G242-I242</f>
        <v>129.28999999999996</v>
      </c>
      <c r="L242" s="18"/>
      <c r="M242" s="18"/>
      <c r="N242" s="26"/>
      <c r="O242" s="80">
        <f t="shared" si="24"/>
        <v>-1.8189894035458565E-12</v>
      </c>
    </row>
    <row r="243" spans="1:15" x14ac:dyDescent="0.25">
      <c r="A243" s="27"/>
      <c r="B243" s="3" t="s">
        <v>6</v>
      </c>
      <c r="C243" s="23" t="s">
        <v>33</v>
      </c>
      <c r="D243" s="19" t="s">
        <v>152</v>
      </c>
      <c r="E243" s="19">
        <v>41848</v>
      </c>
      <c r="F243" s="79">
        <v>14300.38</v>
      </c>
      <c r="G243" s="79">
        <v>1661.61</v>
      </c>
      <c r="H243" s="79">
        <v>14300.38</v>
      </c>
      <c r="I243" s="79">
        <v>1661.61</v>
      </c>
      <c r="J243" s="79"/>
      <c r="K243" s="5">
        <v>0</v>
      </c>
      <c r="L243" s="18"/>
      <c r="M243" s="18"/>
      <c r="N243" s="26"/>
      <c r="O243" s="80">
        <f t="shared" si="24"/>
        <v>6.8212102632969618E-13</v>
      </c>
    </row>
    <row r="244" spans="1:15" x14ac:dyDescent="0.25">
      <c r="A244" s="27"/>
      <c r="B244" s="3" t="s">
        <v>6</v>
      </c>
      <c r="C244" s="23" t="s">
        <v>9</v>
      </c>
      <c r="D244" s="19" t="s">
        <v>152</v>
      </c>
      <c r="E244" s="19">
        <v>41848</v>
      </c>
      <c r="F244" s="79">
        <v>49781.5</v>
      </c>
      <c r="G244" s="79">
        <v>7064.46</v>
      </c>
      <c r="H244" s="79">
        <v>49781.5</v>
      </c>
      <c r="I244" s="79">
        <v>7064.46</v>
      </c>
      <c r="J244" s="79"/>
      <c r="K244" s="5"/>
      <c r="L244" s="18"/>
      <c r="M244" s="18"/>
      <c r="N244" s="26"/>
      <c r="O244" s="80">
        <f t="shared" si="24"/>
        <v>-9.0949470177292824E-13</v>
      </c>
    </row>
    <row r="245" spans="1:15" x14ac:dyDescent="0.25">
      <c r="A245" s="27"/>
      <c r="B245" s="3" t="s">
        <v>6</v>
      </c>
      <c r="C245" s="23" t="s">
        <v>31</v>
      </c>
      <c r="D245" s="19" t="s">
        <v>152</v>
      </c>
      <c r="E245" s="19">
        <v>41848</v>
      </c>
      <c r="F245" s="79">
        <v>18632.97</v>
      </c>
      <c r="G245" s="79">
        <v>1908.31</v>
      </c>
      <c r="H245" s="79">
        <v>18632.97</v>
      </c>
      <c r="I245" s="79">
        <v>1908.31</v>
      </c>
      <c r="J245" s="79"/>
      <c r="K245" s="5"/>
      <c r="L245" s="18"/>
      <c r="M245" s="18"/>
      <c r="N245" s="26"/>
      <c r="O245" s="80">
        <f t="shared" si="24"/>
        <v>1.3642420526593924E-12</v>
      </c>
    </row>
    <row r="246" spans="1:15" x14ac:dyDescent="0.25">
      <c r="A246" s="27"/>
      <c r="B246" s="3" t="s">
        <v>6</v>
      </c>
      <c r="C246" s="23" t="s">
        <v>10</v>
      </c>
      <c r="D246" s="19" t="s">
        <v>152</v>
      </c>
      <c r="E246" s="19">
        <v>41848</v>
      </c>
      <c r="F246" s="79">
        <v>50577.86</v>
      </c>
      <c r="G246" s="79">
        <v>6344.42</v>
      </c>
      <c r="H246" s="79">
        <v>50577.86</v>
      </c>
      <c r="I246" s="79">
        <v>6344.42</v>
      </c>
      <c r="J246" s="79"/>
      <c r="K246" s="5">
        <v>0</v>
      </c>
      <c r="L246" s="18"/>
      <c r="M246" s="18"/>
      <c r="N246" s="26"/>
      <c r="O246" s="80">
        <f t="shared" si="24"/>
        <v>-1.8189894035458565E-12</v>
      </c>
    </row>
    <row r="247" spans="1:15" x14ac:dyDescent="0.25">
      <c r="A247" s="27"/>
      <c r="B247" s="3" t="s">
        <v>6</v>
      </c>
      <c r="C247" s="23" t="s">
        <v>34</v>
      </c>
      <c r="D247" s="19" t="s">
        <v>152</v>
      </c>
      <c r="E247" s="19">
        <v>41848</v>
      </c>
      <c r="F247" s="79">
        <v>8682.7900000000009</v>
      </c>
      <c r="G247" s="79">
        <v>1035.18</v>
      </c>
      <c r="H247" s="79">
        <v>8682.7900000000009</v>
      </c>
      <c r="I247" s="79">
        <v>1035.18</v>
      </c>
      <c r="J247" s="79"/>
      <c r="K247" s="5">
        <v>0</v>
      </c>
      <c r="L247" s="18"/>
      <c r="M247" s="18"/>
      <c r="N247" s="26"/>
      <c r="O247" s="80">
        <f t="shared" si="24"/>
        <v>2.2737367544323206E-13</v>
      </c>
    </row>
    <row r="248" spans="1:15" x14ac:dyDescent="0.25">
      <c r="A248" s="27"/>
      <c r="B248" s="3" t="s">
        <v>6</v>
      </c>
      <c r="C248" s="23" t="s">
        <v>11</v>
      </c>
      <c r="D248" s="19" t="s">
        <v>152</v>
      </c>
      <c r="E248" s="19">
        <v>41848</v>
      </c>
      <c r="F248" s="79">
        <v>69012.95</v>
      </c>
      <c r="G248" s="79">
        <v>15033.18</v>
      </c>
      <c r="H248" s="79">
        <v>69012.95</v>
      </c>
      <c r="I248" s="79">
        <v>10351.94</v>
      </c>
      <c r="J248" s="79"/>
      <c r="K248" s="5">
        <f t="shared" ref="K248" si="31">G248-I248</f>
        <v>4681.24</v>
      </c>
      <c r="L248" s="18"/>
      <c r="M248" s="18"/>
      <c r="N248" s="26"/>
      <c r="O248" s="80">
        <f t="shared" si="24"/>
        <v>7.2759576141834259E-12</v>
      </c>
    </row>
    <row r="249" spans="1:15" x14ac:dyDescent="0.25">
      <c r="A249" s="27"/>
      <c r="B249" s="3" t="s">
        <v>6</v>
      </c>
      <c r="C249" s="23" t="s">
        <v>32</v>
      </c>
      <c r="D249" s="19" t="s">
        <v>152</v>
      </c>
      <c r="E249" s="19">
        <v>41848</v>
      </c>
      <c r="F249" s="79">
        <v>26643.25</v>
      </c>
      <c r="G249" s="79">
        <v>3702.27</v>
      </c>
      <c r="H249" s="79">
        <v>26643.25</v>
      </c>
      <c r="I249" s="79">
        <v>3702.27</v>
      </c>
      <c r="J249" s="79"/>
      <c r="K249" s="5"/>
      <c r="L249" s="18"/>
      <c r="M249" s="18"/>
      <c r="N249" s="26"/>
      <c r="O249" s="80">
        <f t="shared" si="24"/>
        <v>4.5474735088646412E-13</v>
      </c>
    </row>
    <row r="250" spans="1:15" x14ac:dyDescent="0.25">
      <c r="A250" s="27"/>
      <c r="B250" s="3" t="s">
        <v>88</v>
      </c>
      <c r="C250" s="23" t="s">
        <v>96</v>
      </c>
      <c r="D250" s="19" t="s">
        <v>154</v>
      </c>
      <c r="E250" s="19">
        <v>41848</v>
      </c>
      <c r="F250" s="79">
        <v>41592.93</v>
      </c>
      <c r="G250" s="79">
        <v>0</v>
      </c>
      <c r="H250" s="79">
        <v>41592.93</v>
      </c>
      <c r="I250" s="79">
        <v>0</v>
      </c>
      <c r="J250" s="79"/>
      <c r="K250" s="5"/>
      <c r="L250" s="18"/>
      <c r="M250" s="18"/>
      <c r="N250" s="26"/>
      <c r="O250" s="80">
        <f t="shared" si="24"/>
        <v>0</v>
      </c>
    </row>
    <row r="251" spans="1:15" x14ac:dyDescent="0.25">
      <c r="A251" s="27"/>
      <c r="B251" s="3" t="s">
        <v>73</v>
      </c>
      <c r="C251" s="23" t="s">
        <v>74</v>
      </c>
      <c r="D251" s="19" t="s">
        <v>153</v>
      </c>
      <c r="E251" s="19">
        <v>41845</v>
      </c>
      <c r="F251" s="79">
        <v>0</v>
      </c>
      <c r="G251" s="79">
        <v>325.93</v>
      </c>
      <c r="H251" s="79"/>
      <c r="I251" s="79"/>
      <c r="J251" s="79"/>
      <c r="K251" s="5">
        <f>G251</f>
        <v>325.93</v>
      </c>
      <c r="L251" s="18"/>
      <c r="M251" s="18"/>
      <c r="N251" s="26"/>
      <c r="O251" s="80">
        <f t="shared" si="24"/>
        <v>0</v>
      </c>
    </row>
    <row r="252" spans="1:15" x14ac:dyDescent="0.25">
      <c r="A252" s="27"/>
      <c r="B252" s="3" t="s">
        <v>61</v>
      </c>
      <c r="C252" s="23" t="s">
        <v>62</v>
      </c>
      <c r="D252" s="19" t="s">
        <v>152</v>
      </c>
      <c r="E252" s="19">
        <v>41845</v>
      </c>
      <c r="F252" s="79">
        <v>89633.99</v>
      </c>
      <c r="G252" s="79">
        <v>4835.1499999999996</v>
      </c>
      <c r="H252" s="79">
        <v>89135.69</v>
      </c>
      <c r="I252" s="79">
        <v>0</v>
      </c>
      <c r="J252" s="79"/>
      <c r="K252" s="5"/>
      <c r="L252" s="18"/>
      <c r="M252" s="18"/>
      <c r="N252" s="26">
        <f>F252+G252-H252</f>
        <v>5333.4499999999971</v>
      </c>
      <c r="O252" s="80">
        <f t="shared" si="24"/>
        <v>0</v>
      </c>
    </row>
    <row r="253" spans="1:15" x14ac:dyDescent="0.25">
      <c r="A253" s="27"/>
      <c r="B253" s="3" t="s">
        <v>39</v>
      </c>
      <c r="C253" s="23" t="s">
        <v>40</v>
      </c>
      <c r="D253" s="19" t="s">
        <v>152</v>
      </c>
      <c r="E253" s="19">
        <v>41848</v>
      </c>
      <c r="F253" s="79">
        <v>58055.94</v>
      </c>
      <c r="G253" s="79">
        <v>3126.25</v>
      </c>
      <c r="H253" s="79">
        <v>58055.94</v>
      </c>
      <c r="I253" s="79">
        <v>3126.25</v>
      </c>
      <c r="J253" s="79"/>
      <c r="K253" s="5"/>
      <c r="L253" s="18"/>
      <c r="M253" s="18"/>
      <c r="N253" s="26"/>
      <c r="O253" s="80">
        <f t="shared" si="24"/>
        <v>0</v>
      </c>
    </row>
    <row r="254" spans="1:15" x14ac:dyDescent="0.25">
      <c r="A254" s="27"/>
      <c r="B254" s="3" t="s">
        <v>133</v>
      </c>
      <c r="C254" s="23" t="s">
        <v>15</v>
      </c>
      <c r="D254" s="19" t="s">
        <v>153</v>
      </c>
      <c r="E254" s="19">
        <v>41848</v>
      </c>
      <c r="F254" s="79">
        <v>2934.61</v>
      </c>
      <c r="G254" s="79">
        <v>5124.33</v>
      </c>
      <c r="H254" s="79">
        <v>2934.61</v>
      </c>
      <c r="I254" s="79">
        <v>622.70000000000005</v>
      </c>
      <c r="J254" s="79"/>
      <c r="K254" s="5">
        <f>G254-I254</f>
        <v>4501.63</v>
      </c>
      <c r="L254" s="18"/>
      <c r="M254" s="18"/>
      <c r="N254" s="26"/>
      <c r="O254" s="80">
        <f t="shared" si="24"/>
        <v>0</v>
      </c>
    </row>
    <row r="255" spans="1:15" x14ac:dyDescent="0.25">
      <c r="A255" s="27"/>
      <c r="B255" s="3" t="s">
        <v>77</v>
      </c>
      <c r="C255" s="23" t="s">
        <v>78</v>
      </c>
      <c r="D255" s="19" t="s">
        <v>154</v>
      </c>
      <c r="E255" s="19">
        <v>41849</v>
      </c>
      <c r="F255" s="79">
        <v>43891.79</v>
      </c>
      <c r="G255" s="79">
        <v>57.56</v>
      </c>
      <c r="H255" s="79">
        <v>43891.79</v>
      </c>
      <c r="I255" s="79">
        <v>57.56</v>
      </c>
      <c r="J255" s="79"/>
      <c r="K255" s="5"/>
      <c r="L255" s="18"/>
      <c r="M255" s="18"/>
      <c r="N255" s="26"/>
      <c r="O255" s="80">
        <f t="shared" si="24"/>
        <v>-2.3305801732931286E-12</v>
      </c>
    </row>
    <row r="256" spans="1:15" x14ac:dyDescent="0.25">
      <c r="A256" s="27"/>
      <c r="B256" s="3" t="s">
        <v>85</v>
      </c>
      <c r="C256" s="23" t="s">
        <v>93</v>
      </c>
      <c r="D256" s="19" t="s">
        <v>153</v>
      </c>
      <c r="E256" s="19">
        <v>41849</v>
      </c>
      <c r="F256" s="79">
        <v>7704.82</v>
      </c>
      <c r="G256" s="79">
        <v>2943.58</v>
      </c>
      <c r="H256" s="79">
        <v>7704.82</v>
      </c>
      <c r="I256" s="79">
        <v>1155.72</v>
      </c>
      <c r="J256" s="79"/>
      <c r="K256" s="5">
        <f>G256-I256</f>
        <v>1787.86</v>
      </c>
      <c r="L256" s="18"/>
      <c r="M256" s="18"/>
      <c r="N256" s="26"/>
      <c r="O256" s="80">
        <f t="shared" si="24"/>
        <v>0</v>
      </c>
    </row>
    <row r="257" spans="1:15" x14ac:dyDescent="0.25">
      <c r="A257" s="27"/>
      <c r="B257" s="3" t="s">
        <v>22</v>
      </c>
      <c r="C257" s="23" t="s">
        <v>23</v>
      </c>
      <c r="D257" s="19" t="s">
        <v>152</v>
      </c>
      <c r="E257" s="19">
        <v>41849</v>
      </c>
      <c r="F257" s="79">
        <v>146702.71</v>
      </c>
      <c r="G257" s="79">
        <v>8325.4</v>
      </c>
      <c r="H257" s="79">
        <v>146702.71</v>
      </c>
      <c r="I257" s="79">
        <v>8325.4</v>
      </c>
      <c r="J257" s="79"/>
      <c r="K257" s="5"/>
      <c r="L257" s="18"/>
      <c r="M257" s="18"/>
      <c r="N257" s="26"/>
      <c r="O257" s="80">
        <f t="shared" si="24"/>
        <v>-5.4569682106375694E-12</v>
      </c>
    </row>
    <row r="258" spans="1:15" x14ac:dyDescent="0.25">
      <c r="A258" s="27"/>
      <c r="B258" s="3" t="s">
        <v>91</v>
      </c>
      <c r="C258" s="23" t="s">
        <v>99</v>
      </c>
      <c r="D258" s="19" t="s">
        <v>154</v>
      </c>
      <c r="E258" s="19">
        <v>41849</v>
      </c>
      <c r="F258" s="79">
        <v>1875.4</v>
      </c>
      <c r="G258" s="79">
        <v>187.54</v>
      </c>
      <c r="H258" s="79">
        <v>1875.4</v>
      </c>
      <c r="I258" s="79">
        <v>187.54</v>
      </c>
      <c r="J258" s="79"/>
      <c r="K258" s="5"/>
      <c r="L258" s="18"/>
      <c r="M258" s="18"/>
      <c r="N258" s="26"/>
      <c r="O258" s="80">
        <f t="shared" si="24"/>
        <v>-2.8421709430404007E-14</v>
      </c>
    </row>
    <row r="259" spans="1:15" x14ac:dyDescent="0.25">
      <c r="A259" s="27"/>
      <c r="B259" s="3" t="s">
        <v>84</v>
      </c>
      <c r="C259" s="23" t="s">
        <v>92</v>
      </c>
      <c r="D259" s="19" t="s">
        <v>152</v>
      </c>
      <c r="E259" s="19">
        <v>41849</v>
      </c>
      <c r="F259" s="79">
        <v>32253.74</v>
      </c>
      <c r="G259" s="79">
        <v>4961.3100000000004</v>
      </c>
      <c r="H259" s="79">
        <v>32253.74</v>
      </c>
      <c r="I259" s="79">
        <v>4961.3100000000004</v>
      </c>
      <c r="J259" s="79"/>
      <c r="K259" s="5">
        <f>G259-I259</f>
        <v>0</v>
      </c>
      <c r="L259" s="18"/>
      <c r="M259" s="18"/>
      <c r="N259" s="26"/>
      <c r="O259" s="80">
        <f t="shared" si="24"/>
        <v>9.0949470177292824E-13</v>
      </c>
    </row>
    <row r="260" spans="1:15" x14ac:dyDescent="0.25">
      <c r="A260" s="27"/>
      <c r="B260" s="3" t="s">
        <v>75</v>
      </c>
      <c r="C260" s="23" t="s">
        <v>76</v>
      </c>
      <c r="D260" s="19" t="s">
        <v>152</v>
      </c>
      <c r="E260" s="19">
        <v>41850</v>
      </c>
      <c r="F260" s="79">
        <v>22365.25</v>
      </c>
      <c r="G260" s="79">
        <v>3354.83</v>
      </c>
      <c r="H260" s="79">
        <v>22365.25</v>
      </c>
      <c r="I260" s="79">
        <v>3354.79</v>
      </c>
      <c r="J260" s="79"/>
      <c r="K260" s="5">
        <f>G260-I260</f>
        <v>3.999999999996362E-2</v>
      </c>
      <c r="L260" s="18"/>
      <c r="M260" s="18"/>
      <c r="N260" s="26"/>
      <c r="O260" s="80">
        <f t="shared" si="24"/>
        <v>1.8189894035458565E-12</v>
      </c>
    </row>
    <row r="261" spans="1:15" x14ac:dyDescent="0.25">
      <c r="A261" s="27"/>
      <c r="B261" s="3" t="s">
        <v>87</v>
      </c>
      <c r="C261" s="23" t="s">
        <v>95</v>
      </c>
      <c r="D261" s="19" t="s">
        <v>152</v>
      </c>
      <c r="E261" s="19">
        <v>41850</v>
      </c>
      <c r="F261" s="79">
        <v>141590.51999999999</v>
      </c>
      <c r="G261" s="79">
        <v>-1668.96</v>
      </c>
      <c r="H261" s="79">
        <v>141590.51999999999</v>
      </c>
      <c r="I261" s="79">
        <v>-1668.96</v>
      </c>
      <c r="J261" s="79"/>
      <c r="K261" s="5">
        <v>0</v>
      </c>
      <c r="L261" s="18"/>
      <c r="M261" s="18"/>
      <c r="N261" s="26"/>
      <c r="O261" s="80">
        <f t="shared" ref="O261:O278" si="32">(F261+G261)-H261-I261-J261-K261-L261-M261-N261</f>
        <v>8.1854523159563541E-12</v>
      </c>
    </row>
    <row r="262" spans="1:15" x14ac:dyDescent="0.25">
      <c r="A262" s="27"/>
      <c r="B262" s="3" t="s">
        <v>63</v>
      </c>
      <c r="C262" s="23" t="s">
        <v>64</v>
      </c>
      <c r="D262" s="19" t="s">
        <v>154</v>
      </c>
      <c r="E262" s="19">
        <v>41850</v>
      </c>
      <c r="F262" s="79">
        <v>181386.37</v>
      </c>
      <c r="G262" s="79">
        <v>24768.52</v>
      </c>
      <c r="H262" s="79">
        <v>181001.57</v>
      </c>
      <c r="I262" s="79">
        <v>24768.52</v>
      </c>
      <c r="J262" s="79"/>
      <c r="K262" s="5">
        <f>G262-I262</f>
        <v>0</v>
      </c>
      <c r="L262" s="18"/>
      <c r="M262" s="18"/>
      <c r="N262" s="26">
        <v>384.8</v>
      </c>
      <c r="O262" s="80">
        <f t="shared" si="32"/>
        <v>-2.2566837287740782E-11</v>
      </c>
    </row>
    <row r="263" spans="1:15" x14ac:dyDescent="0.25">
      <c r="A263" s="27"/>
      <c r="B263" s="3" t="s">
        <v>90</v>
      </c>
      <c r="C263" s="23" t="s">
        <v>98</v>
      </c>
      <c r="D263" s="19" t="s">
        <v>154</v>
      </c>
      <c r="E263" s="19">
        <v>41851</v>
      </c>
      <c r="F263" s="79">
        <v>117052.95</v>
      </c>
      <c r="G263" s="79">
        <v>8333.01</v>
      </c>
      <c r="H263" s="79">
        <v>117052.95</v>
      </c>
      <c r="I263" s="79">
        <v>8333.01</v>
      </c>
      <c r="J263" s="79"/>
      <c r="K263" s="5"/>
      <c r="L263" s="18"/>
      <c r="M263" s="18"/>
      <c r="N263" s="26"/>
      <c r="O263" s="80">
        <f t="shared" si="32"/>
        <v>-5.4569682106375694E-12</v>
      </c>
    </row>
    <row r="264" spans="1:15" x14ac:dyDescent="0.25">
      <c r="A264" s="27"/>
      <c r="B264" s="3" t="s">
        <v>69</v>
      </c>
      <c r="C264" s="23" t="s">
        <v>70</v>
      </c>
      <c r="D264" s="19" t="s">
        <v>152</v>
      </c>
      <c r="E264" s="19">
        <v>41857</v>
      </c>
      <c r="F264" s="79">
        <v>40476.03</v>
      </c>
      <c r="G264" s="79">
        <v>2205.94</v>
      </c>
      <c r="H264" s="79">
        <v>40476.03</v>
      </c>
      <c r="I264" s="79">
        <v>2205.94</v>
      </c>
      <c r="J264" s="79"/>
      <c r="K264" s="5"/>
      <c r="L264" s="18"/>
      <c r="M264" s="18"/>
      <c r="N264" s="26"/>
      <c r="O264" s="80">
        <f t="shared" si="32"/>
        <v>2.2737367544323206E-12</v>
      </c>
    </row>
    <row r="265" spans="1:15" x14ac:dyDescent="0.25">
      <c r="A265" s="27"/>
      <c r="B265" s="3" t="s">
        <v>47</v>
      </c>
      <c r="C265" s="23" t="s">
        <v>48</v>
      </c>
      <c r="D265" s="19" t="s">
        <v>154</v>
      </c>
      <c r="E265" s="19">
        <v>41858</v>
      </c>
      <c r="F265" s="79">
        <v>75459.69</v>
      </c>
      <c r="G265" s="79">
        <v>11026.29</v>
      </c>
      <c r="H265" s="79">
        <v>75459.69</v>
      </c>
      <c r="I265" s="79">
        <v>11026.29</v>
      </c>
      <c r="J265" s="79"/>
      <c r="K265" s="5"/>
      <c r="L265" s="18"/>
      <c r="M265" s="18"/>
      <c r="N265" s="26"/>
      <c r="O265" s="80">
        <f t="shared" si="32"/>
        <v>7.2759576141834259E-12</v>
      </c>
    </row>
    <row r="266" spans="1:15" x14ac:dyDescent="0.25">
      <c r="A266" s="27"/>
      <c r="B266" s="3" t="s">
        <v>55</v>
      </c>
      <c r="C266" s="23" t="s">
        <v>56</v>
      </c>
      <c r="D266" s="19" t="s">
        <v>152</v>
      </c>
      <c r="E266" s="19">
        <v>41855</v>
      </c>
      <c r="F266" s="79">
        <v>301466.71000000002</v>
      </c>
      <c r="G266" s="79">
        <v>16352.06</v>
      </c>
      <c r="H266" s="79">
        <v>301466.71000000002</v>
      </c>
      <c r="I266" s="79">
        <v>16352.06</v>
      </c>
      <c r="J266" s="79"/>
      <c r="K266" s="5">
        <f t="shared" ref="K266" si="33">G266-I266</f>
        <v>0</v>
      </c>
      <c r="L266" s="18"/>
      <c r="M266" s="18"/>
      <c r="N266" s="26"/>
      <c r="O266" s="80">
        <f t="shared" si="32"/>
        <v>-1.8189894035458565E-12</v>
      </c>
    </row>
    <row r="267" spans="1:15" x14ac:dyDescent="0.25">
      <c r="A267" s="27"/>
      <c r="B267" s="3" t="s">
        <v>86</v>
      </c>
      <c r="C267" s="23" t="s">
        <v>94</v>
      </c>
      <c r="D267" s="19" t="s">
        <v>153</v>
      </c>
      <c r="E267" s="19">
        <v>41850</v>
      </c>
      <c r="F267" s="79">
        <v>16031.87</v>
      </c>
      <c r="G267" s="79">
        <v>2161.3000000000002</v>
      </c>
      <c r="H267" s="79">
        <v>16031.87</v>
      </c>
      <c r="I267" s="79">
        <v>2161.3000000000002</v>
      </c>
      <c r="J267" s="79"/>
      <c r="K267" s="5"/>
      <c r="L267" s="18"/>
      <c r="M267" s="18"/>
      <c r="N267" s="26"/>
      <c r="O267" s="80">
        <f t="shared" si="32"/>
        <v>9.0949470177292824E-13</v>
      </c>
    </row>
    <row r="268" spans="1:15" x14ac:dyDescent="0.25">
      <c r="A268" s="27"/>
      <c r="B268" s="3" t="s">
        <v>142</v>
      </c>
      <c r="C268" s="23" t="s">
        <v>72</v>
      </c>
      <c r="D268" s="19" t="s">
        <v>152</v>
      </c>
      <c r="E268" s="19">
        <v>41851</v>
      </c>
      <c r="F268" s="79">
        <v>78488.460000000006</v>
      </c>
      <c r="G268" s="79">
        <v>4030.03</v>
      </c>
      <c r="H268" s="79">
        <v>78488.460000000006</v>
      </c>
      <c r="I268" s="79">
        <v>4030.03</v>
      </c>
      <c r="J268" s="79"/>
      <c r="K268" s="5"/>
      <c r="L268" s="18"/>
      <c r="M268" s="18"/>
      <c r="N268" s="26"/>
      <c r="O268" s="80">
        <f t="shared" si="32"/>
        <v>-1.3642420526593924E-12</v>
      </c>
    </row>
    <row r="269" spans="1:15" x14ac:dyDescent="0.25">
      <c r="A269" s="27"/>
      <c r="B269" s="3" t="s">
        <v>20</v>
      </c>
      <c r="C269" s="23" t="s">
        <v>21</v>
      </c>
      <c r="D269" s="19" t="s">
        <v>153</v>
      </c>
      <c r="E269" s="19">
        <v>41880</v>
      </c>
      <c r="F269" s="79">
        <v>15995.26</v>
      </c>
      <c r="G269" s="79">
        <v>21937.5</v>
      </c>
      <c r="H269" s="79">
        <v>15995.26</v>
      </c>
      <c r="I269" s="79">
        <v>2399.29</v>
      </c>
      <c r="J269" s="79"/>
      <c r="K269" s="5">
        <f>G269-I269</f>
        <v>19538.21</v>
      </c>
      <c r="L269" s="18"/>
      <c r="M269" s="18"/>
      <c r="N269" s="26"/>
      <c r="O269" s="80">
        <f t="shared" si="32"/>
        <v>0</v>
      </c>
    </row>
    <row r="270" spans="1:15" x14ac:dyDescent="0.25">
      <c r="A270" s="27"/>
      <c r="B270" s="3" t="s">
        <v>57</v>
      </c>
      <c r="C270" s="23" t="s">
        <v>58</v>
      </c>
      <c r="D270" s="19" t="s">
        <v>152</v>
      </c>
      <c r="E270" s="19">
        <v>41879</v>
      </c>
      <c r="F270" s="79">
        <v>5042.8100000000004</v>
      </c>
      <c r="G270" s="79">
        <v>2968.27</v>
      </c>
      <c r="H270" s="79">
        <v>5042.8100000000004</v>
      </c>
      <c r="I270" s="79">
        <v>2968.27</v>
      </c>
      <c r="J270" s="79"/>
      <c r="K270" s="79"/>
      <c r="L270" s="18"/>
      <c r="M270" s="18"/>
      <c r="N270" s="26"/>
      <c r="O270" s="80">
        <f t="shared" si="32"/>
        <v>-4.5474735088646412E-13</v>
      </c>
    </row>
    <row r="271" spans="1:15" x14ac:dyDescent="0.25">
      <c r="A271" s="27"/>
      <c r="B271" s="3" t="s">
        <v>65</v>
      </c>
      <c r="C271" s="23" t="s">
        <v>66</v>
      </c>
      <c r="D271" s="19" t="s">
        <v>152</v>
      </c>
      <c r="E271" s="19">
        <v>41906</v>
      </c>
      <c r="F271" s="79">
        <v>-5384.5</v>
      </c>
      <c r="G271" s="79">
        <v>0</v>
      </c>
      <c r="H271" s="79">
        <v>-5384.5</v>
      </c>
      <c r="I271" s="79">
        <v>0</v>
      </c>
      <c r="J271" s="79"/>
      <c r="K271" s="5"/>
      <c r="L271" s="18"/>
      <c r="M271" s="18"/>
      <c r="N271" s="26"/>
      <c r="O271" s="80">
        <f t="shared" si="32"/>
        <v>0</v>
      </c>
    </row>
    <row r="272" spans="1:15" x14ac:dyDescent="0.25">
      <c r="A272" s="27"/>
      <c r="B272" s="3" t="s">
        <v>73</v>
      </c>
      <c r="C272" s="23" t="s">
        <v>74</v>
      </c>
      <c r="D272" s="19" t="s">
        <v>155</v>
      </c>
      <c r="E272" s="19">
        <v>42073</v>
      </c>
      <c r="F272" s="79">
        <v>0</v>
      </c>
      <c r="G272" s="79">
        <v>6125.5</v>
      </c>
      <c r="H272" s="79">
        <v>0</v>
      </c>
      <c r="I272" s="79">
        <v>6125.5</v>
      </c>
      <c r="J272" s="79"/>
      <c r="K272" s="5">
        <v>0</v>
      </c>
      <c r="L272" s="18"/>
      <c r="M272" s="18"/>
      <c r="N272" s="26"/>
      <c r="O272" s="80">
        <f t="shared" si="32"/>
        <v>0</v>
      </c>
    </row>
    <row r="273" spans="1:15" x14ac:dyDescent="0.25">
      <c r="A273" s="27"/>
      <c r="B273" s="3" t="s">
        <v>45</v>
      </c>
      <c r="C273" s="23" t="s">
        <v>46</v>
      </c>
      <c r="D273" s="19" t="s">
        <v>140</v>
      </c>
      <c r="E273" s="19">
        <v>42095</v>
      </c>
      <c r="F273" s="79">
        <v>25263.66</v>
      </c>
      <c r="G273" s="79">
        <v>17790.61</v>
      </c>
      <c r="H273" s="79">
        <v>-3609.73</v>
      </c>
      <c r="I273" s="79">
        <v>13459.6</v>
      </c>
      <c r="J273" s="79"/>
      <c r="K273" s="5"/>
      <c r="L273" s="18"/>
      <c r="M273" s="18"/>
      <c r="N273" s="26"/>
      <c r="O273" s="80">
        <f t="shared" si="32"/>
        <v>33204.400000000009</v>
      </c>
    </row>
    <row r="274" spans="1:15" x14ac:dyDescent="0.25">
      <c r="A274" s="27"/>
      <c r="B274" s="3" t="s">
        <v>45</v>
      </c>
      <c r="C274" s="23" t="s">
        <v>46</v>
      </c>
      <c r="D274" s="19" t="s">
        <v>154</v>
      </c>
      <c r="E274" s="19">
        <v>42095</v>
      </c>
      <c r="F274" s="79">
        <v>188230.2</v>
      </c>
      <c r="G274" s="79">
        <v>6634.26</v>
      </c>
      <c r="H274" s="79">
        <v>188230.2</v>
      </c>
      <c r="I274" s="79">
        <v>6634.26</v>
      </c>
      <c r="J274" s="79"/>
      <c r="K274" s="5"/>
      <c r="L274" s="18"/>
      <c r="M274" s="18"/>
      <c r="N274" s="26"/>
      <c r="O274" s="80">
        <f t="shared" si="32"/>
        <v>9.0949470177292824E-12</v>
      </c>
    </row>
    <row r="275" spans="1:15" x14ac:dyDescent="0.25">
      <c r="A275" s="27"/>
      <c r="B275" s="3" t="s">
        <v>57</v>
      </c>
      <c r="C275" s="23" t="s">
        <v>58</v>
      </c>
      <c r="D275" s="19" t="s">
        <v>153</v>
      </c>
      <c r="E275" s="19">
        <v>42192</v>
      </c>
      <c r="F275" s="79">
        <v>63898.22</v>
      </c>
      <c r="G275" s="79">
        <v>349.18</v>
      </c>
      <c r="H275" s="79">
        <v>63898.22</v>
      </c>
      <c r="I275" s="79">
        <v>349.18</v>
      </c>
      <c r="J275" s="79"/>
      <c r="K275" s="5"/>
      <c r="L275" s="18"/>
      <c r="M275" s="18"/>
      <c r="N275" s="26"/>
      <c r="O275" s="80">
        <f t="shared" si="32"/>
        <v>2.8421709430404007E-13</v>
      </c>
    </row>
    <row r="276" spans="1:15" x14ac:dyDescent="0.25">
      <c r="A276" s="29"/>
      <c r="B276" s="52" t="s">
        <v>87</v>
      </c>
      <c r="C276" s="21" t="s">
        <v>95</v>
      </c>
      <c r="D276" s="9" t="s">
        <v>155</v>
      </c>
      <c r="E276" s="9">
        <v>42419</v>
      </c>
      <c r="F276" s="4">
        <v>0</v>
      </c>
      <c r="G276" s="4">
        <v>3360.15</v>
      </c>
      <c r="H276" s="79">
        <v>0</v>
      </c>
      <c r="I276" s="79">
        <v>3360.15</v>
      </c>
      <c r="J276" s="4"/>
      <c r="K276" s="4"/>
      <c r="L276" s="4"/>
      <c r="M276" s="4"/>
      <c r="N276" s="28"/>
      <c r="O276" s="80">
        <f t="shared" si="32"/>
        <v>0</v>
      </c>
    </row>
    <row r="277" spans="1:15" x14ac:dyDescent="0.25">
      <c r="A277" s="29"/>
      <c r="B277" s="52"/>
      <c r="C277" s="21"/>
      <c r="D277" s="9"/>
      <c r="E277" s="9"/>
      <c r="F277" s="4"/>
      <c r="G277" s="4"/>
      <c r="H277" s="4"/>
      <c r="I277" s="4"/>
      <c r="J277" s="4"/>
      <c r="K277" s="4"/>
      <c r="L277" s="4"/>
      <c r="M277" s="4"/>
      <c r="N277" s="28"/>
      <c r="O277" s="80">
        <f t="shared" si="32"/>
        <v>0</v>
      </c>
    </row>
    <row r="278" spans="1:15" x14ac:dyDescent="0.25">
      <c r="A278" s="29"/>
      <c r="B278" s="52"/>
      <c r="C278" s="21"/>
      <c r="D278" s="9"/>
      <c r="E278" s="9"/>
      <c r="F278" s="4"/>
      <c r="G278" s="4"/>
      <c r="H278" s="4"/>
      <c r="I278" s="4"/>
      <c r="J278" s="4"/>
      <c r="K278" s="4"/>
      <c r="L278" s="4"/>
      <c r="M278" s="4"/>
      <c r="N278" s="28"/>
      <c r="O278" s="80">
        <f t="shared" si="32"/>
        <v>0</v>
      </c>
    </row>
    <row r="279" spans="1:15" x14ac:dyDescent="0.25">
      <c r="A279" s="29"/>
      <c r="B279" s="52"/>
      <c r="C279" s="21"/>
      <c r="D279" s="9"/>
      <c r="E279" s="9"/>
      <c r="F279" s="4"/>
      <c r="G279" s="4"/>
      <c r="H279" s="4"/>
      <c r="I279" s="4"/>
      <c r="J279" s="4"/>
      <c r="K279" s="4"/>
      <c r="L279" s="4"/>
      <c r="M279" s="4"/>
      <c r="N279" s="28"/>
    </row>
    <row r="280" spans="1:15" ht="15.75" thickBot="1" x14ac:dyDescent="0.3">
      <c r="A280" s="29"/>
      <c r="B280" s="52"/>
      <c r="C280" s="21"/>
      <c r="D280" s="9"/>
      <c r="E280" s="9"/>
      <c r="F280" s="4"/>
      <c r="G280" s="4"/>
      <c r="H280" s="4"/>
      <c r="I280" s="4"/>
      <c r="J280" s="4"/>
      <c r="K280" s="4"/>
      <c r="L280" s="4"/>
      <c r="M280" s="4"/>
      <c r="N280" s="28"/>
    </row>
    <row r="281" spans="1:15" ht="16.5" thickTop="1" thickBot="1" x14ac:dyDescent="0.3">
      <c r="A281" s="112" t="s">
        <v>121</v>
      </c>
      <c r="B281" s="113"/>
      <c r="C281" s="114"/>
      <c r="D281" s="114"/>
      <c r="E281" s="114"/>
      <c r="F281" s="20">
        <f>SUM(Detail!F4:F276)</f>
        <v>7934696.9100000048</v>
      </c>
      <c r="G281" s="20">
        <f>SUM(Detail!G4:G276)</f>
        <v>1223395.6700000002</v>
      </c>
      <c r="H281" s="20">
        <f>SUM(Detail!H4:H276)</f>
        <v>7847863.7100000056</v>
      </c>
      <c r="I281" s="20">
        <f>SUM(Detail!I4:I276)</f>
        <v>980025.86000000034</v>
      </c>
      <c r="J281" s="20">
        <f>SUM(Detail!J4:J276)</f>
        <v>0</v>
      </c>
      <c r="K281" s="20">
        <f>SUM(Detail!K4:K276)</f>
        <v>215023.55000000005</v>
      </c>
      <c r="L281" s="20">
        <f>SUM(Detail!L4:L276)</f>
        <v>0</v>
      </c>
      <c r="M281" s="20">
        <f>SUM(Detail!M4:M276)</f>
        <v>0</v>
      </c>
      <c r="N281" s="31">
        <f>SUM(Detail!N4:N276)</f>
        <v>52489.3</v>
      </c>
    </row>
    <row r="282" spans="1:15" x14ac:dyDescent="0.25">
      <c r="A282" s="25" t="s">
        <v>126</v>
      </c>
      <c r="B282" s="17" t="s">
        <v>6</v>
      </c>
      <c r="C282" s="23" t="s">
        <v>107</v>
      </c>
      <c r="D282" s="18" t="s">
        <v>112</v>
      </c>
      <c r="E282" s="19">
        <v>41577</v>
      </c>
      <c r="F282" s="18">
        <v>58543.15</v>
      </c>
      <c r="G282" s="18">
        <v>0</v>
      </c>
      <c r="H282" s="18">
        <v>58543.15</v>
      </c>
      <c r="I282" s="18">
        <v>0</v>
      </c>
      <c r="J282" s="79">
        <v>0</v>
      </c>
      <c r="K282" s="18">
        <v>0</v>
      </c>
      <c r="L282" s="18">
        <v>0</v>
      </c>
      <c r="M282" s="18">
        <v>0</v>
      </c>
      <c r="N282" s="26">
        <v>0</v>
      </c>
    </row>
    <row r="283" spans="1:15" x14ac:dyDescent="0.25">
      <c r="A283" s="27" t="s">
        <v>127</v>
      </c>
      <c r="B283" s="3" t="s">
        <v>6</v>
      </c>
      <c r="C283" s="21" t="s">
        <v>107</v>
      </c>
      <c r="D283" s="4" t="s">
        <v>111</v>
      </c>
      <c r="E283" s="9">
        <v>41666</v>
      </c>
      <c r="F283" s="4">
        <v>114931.55</v>
      </c>
      <c r="G283" s="4">
        <v>0</v>
      </c>
      <c r="H283" s="4">
        <v>114931.55</v>
      </c>
      <c r="I283" s="4">
        <v>0</v>
      </c>
      <c r="J283" s="79">
        <v>0</v>
      </c>
      <c r="K283" s="4">
        <v>0</v>
      </c>
      <c r="L283" s="4">
        <v>0</v>
      </c>
      <c r="M283" s="79">
        <v>0</v>
      </c>
      <c r="N283" s="28">
        <v>0</v>
      </c>
    </row>
    <row r="284" spans="1:15" x14ac:dyDescent="0.25">
      <c r="A284" s="27" t="s">
        <v>128</v>
      </c>
      <c r="B284" s="3" t="s">
        <v>6</v>
      </c>
      <c r="C284" s="21" t="s">
        <v>107</v>
      </c>
      <c r="D284" s="4" t="s">
        <v>110</v>
      </c>
      <c r="E284" s="9">
        <v>41745</v>
      </c>
      <c r="F284" s="7">
        <v>215972.14</v>
      </c>
      <c r="G284" s="4">
        <v>0</v>
      </c>
      <c r="H284" s="7">
        <v>215972.14</v>
      </c>
      <c r="I284" s="4">
        <v>0</v>
      </c>
      <c r="J284" s="4">
        <v>0</v>
      </c>
      <c r="K284" s="4">
        <v>0</v>
      </c>
      <c r="L284" s="4">
        <v>0</v>
      </c>
      <c r="N284" s="28">
        <v>0</v>
      </c>
    </row>
    <row r="285" spans="1:15" ht="15.75" thickBot="1" x14ac:dyDescent="0.3">
      <c r="A285" s="32" t="s">
        <v>129</v>
      </c>
      <c r="B285" s="14" t="s">
        <v>6</v>
      </c>
      <c r="C285" s="22" t="s">
        <v>107</v>
      </c>
      <c r="D285" s="15" t="s">
        <v>122</v>
      </c>
      <c r="E285" s="16">
        <v>41831</v>
      </c>
      <c r="F285" s="15">
        <v>110553.16</v>
      </c>
      <c r="G285" s="15">
        <v>0</v>
      </c>
      <c r="H285" s="15">
        <v>110553.16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30">
        <v>0</v>
      </c>
    </row>
    <row r="286" spans="1:15" ht="16.5" thickTop="1" thickBot="1" x14ac:dyDescent="0.3">
      <c r="A286" s="112" t="s">
        <v>118</v>
      </c>
      <c r="B286" s="113"/>
      <c r="C286" s="114"/>
      <c r="D286" s="114"/>
      <c r="E286" s="114"/>
      <c r="F286" s="20">
        <f t="shared" ref="F286:N286" si="34">SUM(F282:F285)</f>
        <v>500000</v>
      </c>
      <c r="G286" s="20">
        <f t="shared" si="34"/>
        <v>0</v>
      </c>
      <c r="H286" s="20">
        <f t="shared" si="34"/>
        <v>500000</v>
      </c>
      <c r="I286" s="20">
        <f t="shared" si="34"/>
        <v>0</v>
      </c>
      <c r="J286" s="20">
        <f t="shared" si="34"/>
        <v>0</v>
      </c>
      <c r="K286" s="20">
        <f t="shared" si="34"/>
        <v>0</v>
      </c>
      <c r="L286" s="20">
        <f t="shared" si="34"/>
        <v>0</v>
      </c>
      <c r="M286" s="20">
        <f>SUM(M282:M285)</f>
        <v>0</v>
      </c>
      <c r="N286" s="31">
        <f t="shared" si="34"/>
        <v>0</v>
      </c>
    </row>
    <row r="287" spans="1:15" ht="15.75" thickBot="1" x14ac:dyDescent="0.3">
      <c r="A287" s="87" t="s">
        <v>119</v>
      </c>
      <c r="B287" s="88"/>
      <c r="C287" s="115"/>
      <c r="D287" s="115"/>
      <c r="E287" s="115"/>
      <c r="F287" s="33">
        <f t="shared" ref="F287:N287" si="35">F281+F286</f>
        <v>8434696.9100000039</v>
      </c>
      <c r="G287" s="33">
        <f t="shared" si="35"/>
        <v>1223395.6700000002</v>
      </c>
      <c r="H287" s="33">
        <f t="shared" si="35"/>
        <v>8347863.7100000056</v>
      </c>
      <c r="I287" s="33">
        <f t="shared" si="35"/>
        <v>980025.86000000034</v>
      </c>
      <c r="J287" s="33">
        <f t="shared" si="35"/>
        <v>0</v>
      </c>
      <c r="K287" s="33">
        <f t="shared" si="35"/>
        <v>215023.55000000005</v>
      </c>
      <c r="L287" s="33">
        <f>L281+L286</f>
        <v>0</v>
      </c>
      <c r="M287" s="33">
        <f t="shared" si="35"/>
        <v>0</v>
      </c>
      <c r="N287" s="34">
        <f t="shared" si="35"/>
        <v>52489.3</v>
      </c>
    </row>
    <row r="288" spans="1:15" ht="3.95" customHeight="1" thickTop="1" x14ac:dyDescent="0.25">
      <c r="A288" s="69"/>
      <c r="B288" s="68"/>
      <c r="C288" s="69"/>
      <c r="D288" s="70"/>
      <c r="E288" s="71"/>
      <c r="F288" s="70"/>
      <c r="G288" s="70"/>
      <c r="H288" s="79">
        <v>423.12</v>
      </c>
      <c r="I288" s="70"/>
      <c r="J288" s="70"/>
      <c r="K288" s="70"/>
      <c r="L288" s="70"/>
      <c r="M288" s="70"/>
      <c r="N288" s="72"/>
    </row>
    <row r="289" spans="1:14" ht="3.95" customHeight="1" x14ac:dyDescent="0.25">
      <c r="A289" s="69"/>
      <c r="B289" s="68"/>
      <c r="C289" s="69"/>
      <c r="D289" s="70"/>
      <c r="E289" s="71"/>
      <c r="F289" s="70"/>
      <c r="G289" s="70"/>
      <c r="H289" s="70"/>
      <c r="I289" s="70"/>
      <c r="J289" s="70"/>
      <c r="K289" s="70"/>
      <c r="L289" s="70"/>
      <c r="M289" s="70"/>
      <c r="N289" s="72"/>
    </row>
    <row r="290" spans="1:14" ht="3.95" customHeight="1" x14ac:dyDescent="0.25">
      <c r="A290" s="69"/>
      <c r="B290" s="68"/>
      <c r="C290" s="69"/>
      <c r="D290" s="70"/>
      <c r="E290" s="71"/>
      <c r="F290" s="70"/>
      <c r="G290" s="70"/>
      <c r="H290" s="70"/>
      <c r="I290" s="70"/>
      <c r="J290" s="70"/>
      <c r="K290" s="70"/>
      <c r="L290" s="70"/>
      <c r="M290" s="70"/>
      <c r="N290" s="72"/>
    </row>
    <row r="291" spans="1:14" ht="3.95" customHeight="1" x14ac:dyDescent="0.25">
      <c r="A291" s="69"/>
      <c r="B291" s="68"/>
      <c r="C291" s="69"/>
      <c r="D291" s="70"/>
      <c r="E291" s="71"/>
      <c r="F291" s="70"/>
      <c r="G291" s="70"/>
      <c r="H291" s="70"/>
      <c r="I291" s="70"/>
      <c r="J291" s="70"/>
      <c r="K291" s="70"/>
      <c r="L291" s="70"/>
      <c r="M291" s="70"/>
      <c r="N291" s="72"/>
    </row>
    <row r="292" spans="1:14" ht="3.95" customHeight="1" x14ac:dyDescent="0.25">
      <c r="A292" s="69"/>
      <c r="B292" s="68"/>
      <c r="C292" s="69"/>
      <c r="D292" s="70"/>
      <c r="E292" s="71"/>
      <c r="F292" s="70"/>
      <c r="G292" s="70"/>
      <c r="H292" s="70"/>
      <c r="I292" s="70"/>
      <c r="J292" s="70"/>
      <c r="K292" s="70"/>
      <c r="L292" s="70"/>
      <c r="M292" s="70"/>
      <c r="N292" s="72"/>
    </row>
  </sheetData>
  <autoFilter ref="A3:N288"/>
  <sortState ref="A4:O268">
    <sortCondition ref="A4:A268"/>
    <sortCondition ref="C4:C268"/>
    <sortCondition ref="D4:D268"/>
  </sortState>
  <mergeCells count="7">
    <mergeCell ref="A1:N1"/>
    <mergeCell ref="K2:L2"/>
    <mergeCell ref="A281:E281"/>
    <mergeCell ref="A287:E287"/>
    <mergeCell ref="A286:E286"/>
    <mergeCell ref="F2:G2"/>
    <mergeCell ref="H2:I2"/>
  </mergeCells>
  <pageMargins left="0.7" right="0.7" top="0.75" bottom="0.75" header="0.3" footer="0.3"/>
  <pageSetup scale="43" fitToHeight="0" orientation="landscape" r:id="rId1"/>
  <ignoredErrors>
    <ignoredError sqref="F281:H281 L281:N2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Detail</vt:lpstr>
      <vt:lpstr>Detail!Print_Area</vt:lpstr>
      <vt:lpstr>Summary!Print_Area</vt:lpstr>
      <vt:lpstr>Detail!Print_Titles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Coby</dc:creator>
  <cp:lastModifiedBy>Katelyn Wissler</cp:lastModifiedBy>
  <cp:lastPrinted>2013-11-13T16:00:10Z</cp:lastPrinted>
  <dcterms:created xsi:type="dcterms:W3CDTF">2013-05-13T18:52:35Z</dcterms:created>
  <dcterms:modified xsi:type="dcterms:W3CDTF">2017-11-07T18:56:23Z</dcterms:modified>
</cp:coreProperties>
</file>