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825" windowWidth="16860" windowHeight="9750"/>
  </bookViews>
  <sheets>
    <sheet name="Summary" sheetId="61" r:id="rId1"/>
    <sheet name="Detail" sheetId="60" r:id="rId2"/>
    <sheet name="Request Dates" sheetId="59" r:id="rId3"/>
  </sheets>
  <definedNames>
    <definedName name="_xlnm._FilterDatabase" localSheetId="1" hidden="1">Detail!$A$4:$Q$242</definedName>
  </definedNames>
  <calcPr calcId="145621"/>
</workbook>
</file>

<file path=xl/calcChain.xml><?xml version="1.0" encoding="utf-8"?>
<calcChain xmlns="http://schemas.openxmlformats.org/spreadsheetml/2006/main">
  <c r="M224" i="60" l="1"/>
  <c r="M222" i="60" l="1"/>
  <c r="M223" i="60"/>
  <c r="M221" i="60" l="1"/>
  <c r="M220" i="60"/>
  <c r="J243" i="60" l="1"/>
  <c r="F243" i="60"/>
  <c r="M218" i="60" l="1"/>
  <c r="M217" i="60" l="1"/>
  <c r="M216" i="60" l="1"/>
  <c r="M215" i="60" l="1"/>
  <c r="M214" i="60" l="1"/>
  <c r="M213" i="60" l="1"/>
  <c r="M212" i="60" l="1"/>
  <c r="M211" i="60" l="1"/>
  <c r="M210" i="60" l="1"/>
  <c r="M209" i="60" l="1"/>
  <c r="J242" i="60" l="1"/>
  <c r="F242" i="60"/>
  <c r="M231" i="60" l="1"/>
  <c r="M208" i="60"/>
  <c r="M200" i="60"/>
  <c r="M207" i="60" l="1"/>
  <c r="M204" i="60" l="1"/>
  <c r="M206" i="60"/>
  <c r="C61" i="61" l="1"/>
  <c r="C8" i="61"/>
  <c r="H196" i="60"/>
  <c r="I196" i="60" s="1"/>
  <c r="K196" i="60" s="1"/>
  <c r="F229" i="60"/>
  <c r="I93" i="60" l="1"/>
  <c r="I39" i="60"/>
  <c r="I205" i="60"/>
  <c r="H205" i="60"/>
  <c r="I68" i="60"/>
  <c r="I203" i="60"/>
  <c r="H203" i="60"/>
  <c r="I193" i="60" l="1"/>
  <c r="H202" i="60"/>
  <c r="J241" i="60" l="1"/>
  <c r="F241" i="60"/>
  <c r="J240" i="60"/>
  <c r="F240" i="60"/>
  <c r="J239" i="60" l="1"/>
  <c r="F239" i="60"/>
  <c r="J238" i="60" l="1"/>
  <c r="F238" i="60"/>
  <c r="J237" i="60"/>
  <c r="F237" i="60"/>
  <c r="J236" i="60" l="1"/>
  <c r="F236" i="60"/>
  <c r="J235" i="60" l="1"/>
  <c r="F235" i="60"/>
  <c r="F234" i="60" l="1"/>
  <c r="F232" i="60" l="1"/>
  <c r="F231" i="60"/>
  <c r="F230" i="60"/>
  <c r="F233" i="60"/>
  <c r="F228" i="60" l="1"/>
  <c r="F227" i="60"/>
  <c r="F226" i="60"/>
  <c r="F225" i="60"/>
  <c r="F224" i="60" l="1"/>
  <c r="F223" i="60"/>
  <c r="F222" i="60"/>
  <c r="F221" i="60"/>
  <c r="F220" i="60" l="1"/>
  <c r="F219" i="60"/>
  <c r="F218" i="60"/>
  <c r="F217" i="60"/>
  <c r="F216" i="60"/>
  <c r="F215" i="60"/>
  <c r="F214" i="60"/>
  <c r="F213" i="60"/>
  <c r="F212" i="60"/>
  <c r="F211" i="60" l="1"/>
  <c r="C28" i="61" l="1"/>
  <c r="F210" i="60" l="1"/>
  <c r="F209" i="60"/>
  <c r="J234" i="60"/>
  <c r="J233" i="60"/>
  <c r="J232" i="60"/>
  <c r="J230" i="60"/>
  <c r="J229" i="60"/>
  <c r="J228" i="60"/>
  <c r="J227" i="60"/>
  <c r="J226" i="60"/>
  <c r="J225" i="60"/>
  <c r="J219" i="60"/>
  <c r="F208" i="60"/>
  <c r="F207" i="60" l="1"/>
  <c r="F206" i="60" l="1"/>
  <c r="F200" i="60" l="1"/>
  <c r="C16" i="61" l="1"/>
  <c r="C38" i="61"/>
  <c r="C62" i="61" l="1"/>
  <c r="C54" i="61" l="1"/>
  <c r="F205" i="60" l="1"/>
  <c r="F196" i="60" l="1"/>
  <c r="F204" i="60" l="1"/>
  <c r="F202" i="60" l="1"/>
  <c r="M201" i="60" l="1"/>
  <c r="F203" i="60" l="1"/>
  <c r="K195" i="60" l="1"/>
  <c r="C9" i="61" l="1"/>
  <c r="I16" i="60" l="1"/>
  <c r="I79" i="60"/>
  <c r="I199" i="60"/>
  <c r="I198" i="60"/>
  <c r="F198" i="60"/>
  <c r="H198" i="60" s="1"/>
  <c r="I197" i="60"/>
  <c r="I194" i="60"/>
  <c r="C14" i="61" l="1"/>
  <c r="I192" i="60" l="1"/>
  <c r="F195" i="60" l="1"/>
  <c r="H195" i="60" s="1"/>
  <c r="I183" i="60" l="1"/>
  <c r="I184" i="60" l="1"/>
  <c r="K184" i="60" s="1"/>
  <c r="I177" i="60"/>
  <c r="I41" i="60"/>
  <c r="F199" i="60" l="1"/>
  <c r="H199" i="60" s="1"/>
  <c r="F197" i="60" l="1"/>
  <c r="H197" i="60" s="1"/>
  <c r="H185" i="60" l="1"/>
  <c r="I67" i="60"/>
  <c r="I188" i="60"/>
  <c r="I178" i="60"/>
  <c r="H178" i="60"/>
  <c r="C52" i="61" l="1"/>
  <c r="C51" i="61"/>
  <c r="C49" i="61"/>
  <c r="C45" i="61"/>
  <c r="C44" i="61"/>
  <c r="C43" i="61"/>
  <c r="C37" i="61"/>
  <c r="C36" i="61"/>
  <c r="C30" i="61"/>
  <c r="C27" i="61"/>
  <c r="C26" i="61"/>
  <c r="C24" i="61"/>
  <c r="C19" i="61"/>
  <c r="C6" i="61"/>
  <c r="C55" i="61"/>
  <c r="C53" i="61"/>
  <c r="C48" i="61"/>
  <c r="C39" i="61"/>
  <c r="C29" i="61"/>
  <c r="C23" i="61"/>
  <c r="C7" i="61"/>
  <c r="I181" i="60" l="1"/>
  <c r="H181" i="60"/>
  <c r="I190" i="60" l="1"/>
  <c r="F194" i="60"/>
  <c r="H194" i="60" s="1"/>
  <c r="I191" i="60" l="1"/>
  <c r="H191" i="60"/>
  <c r="I187" i="60"/>
  <c r="K193" i="60"/>
  <c r="H193" i="60"/>
  <c r="K189" i="60" l="1"/>
  <c r="H189" i="60"/>
  <c r="K182" i="60"/>
  <c r="H182" i="60"/>
  <c r="K179" i="60"/>
  <c r="H179" i="60"/>
  <c r="H184" i="60"/>
  <c r="I172" i="60"/>
  <c r="H172" i="60"/>
  <c r="H171" i="60"/>
  <c r="H167" i="60"/>
  <c r="K173" i="60"/>
  <c r="H173" i="60"/>
  <c r="I170" i="60"/>
  <c r="H170" i="60"/>
  <c r="I166" i="60"/>
  <c r="H166" i="60"/>
  <c r="I165" i="60"/>
  <c r="H165" i="60"/>
  <c r="I164" i="60"/>
  <c r="H164" i="60"/>
  <c r="I161" i="60"/>
  <c r="H161" i="60"/>
  <c r="I160" i="60"/>
  <c r="H160" i="60"/>
  <c r="I186" i="60"/>
  <c r="H186" i="60"/>
  <c r="I153" i="60"/>
  <c r="F153" i="60"/>
  <c r="H153" i="60" s="1"/>
  <c r="K177" i="60"/>
  <c r="K183" i="60" l="1"/>
  <c r="H183" i="60" l="1"/>
  <c r="F192" i="60" l="1"/>
  <c r="H192" i="60" s="1"/>
  <c r="C20" i="61" l="1"/>
  <c r="F190" i="60" l="1"/>
  <c r="H190" i="60" s="1"/>
  <c r="C22" i="61" l="1"/>
  <c r="F188" i="60" l="1"/>
  <c r="H188" i="60" s="1"/>
  <c r="K149" i="60" l="1"/>
  <c r="H149" i="60"/>
  <c r="I174" i="60"/>
  <c r="H174" i="60"/>
  <c r="I169" i="60"/>
  <c r="H169" i="60"/>
  <c r="I168" i="60"/>
  <c r="H168" i="60"/>
  <c r="I163" i="60"/>
  <c r="H163" i="60"/>
  <c r="I162" i="60"/>
  <c r="H162" i="60"/>
  <c r="H159" i="60"/>
  <c r="I157" i="60"/>
  <c r="H157" i="60"/>
  <c r="I175" i="60"/>
  <c r="H175" i="60"/>
  <c r="C5" i="61" l="1"/>
  <c r="I176" i="60" l="1"/>
  <c r="H176" i="60"/>
  <c r="I143" i="60" l="1"/>
  <c r="K143" i="60" s="1"/>
  <c r="H143" i="60"/>
  <c r="I156" i="60"/>
  <c r="H156" i="60"/>
  <c r="I152" i="60"/>
  <c r="K152" i="60" s="1"/>
  <c r="H152" i="60"/>
  <c r="I158" i="60"/>
  <c r="H158" i="60"/>
  <c r="I117" i="60" l="1"/>
  <c r="K117" i="60" s="1"/>
  <c r="H117" i="60"/>
  <c r="I154" i="60"/>
  <c r="H154" i="60"/>
  <c r="I148" i="60"/>
  <c r="K148" i="60" s="1"/>
  <c r="H148" i="60"/>
  <c r="I147" i="60"/>
  <c r="K147" i="60" s="1"/>
  <c r="H147" i="60"/>
  <c r="I146" i="60"/>
  <c r="K146" i="60" s="1"/>
  <c r="H146" i="60"/>
  <c r="I47" i="60"/>
  <c r="I144" i="60"/>
  <c r="H144" i="60"/>
  <c r="K150" i="60"/>
  <c r="F187" i="60" l="1"/>
  <c r="H187" i="60" s="1"/>
  <c r="F126" i="60" l="1"/>
  <c r="F96" i="60"/>
  <c r="I121" i="60"/>
  <c r="F68" i="60"/>
  <c r="H308" i="60"/>
  <c r="H307" i="60"/>
  <c r="K136" i="60"/>
  <c r="K126" i="60" l="1"/>
  <c r="K130" i="60"/>
  <c r="H130" i="60"/>
  <c r="I142" i="60"/>
  <c r="K141" i="60"/>
  <c r="I133" i="60"/>
  <c r="K145" i="60"/>
  <c r="H145" i="60"/>
  <c r="K155" i="60"/>
  <c r="H155" i="60"/>
  <c r="I139" i="60"/>
  <c r="F177" i="60" l="1"/>
  <c r="H177" i="60" s="1"/>
  <c r="F180" i="60"/>
  <c r="H180" i="60" s="1"/>
  <c r="D59" i="61" l="1"/>
  <c r="P12" i="61" l="1"/>
  <c r="I135" i="60"/>
  <c r="F151" i="60"/>
  <c r="H151" i="60" s="1"/>
  <c r="F150" i="60"/>
  <c r="P41" i="61" s="1"/>
  <c r="P8" i="61"/>
  <c r="P38" i="61"/>
  <c r="P13" i="61"/>
  <c r="P15" i="61"/>
  <c r="P16" i="61"/>
  <c r="P14" i="61"/>
  <c r="C56" i="61"/>
  <c r="C46" i="61"/>
  <c r="C40" i="61"/>
  <c r="C17" i="61"/>
  <c r="C11" i="61"/>
  <c r="C32" i="61"/>
  <c r="C13" i="61"/>
  <c r="C41" i="61"/>
  <c r="C21" i="61"/>
  <c r="C31" i="61"/>
  <c r="C12" i="61"/>
  <c r="C18" i="61"/>
  <c r="H126" i="60"/>
  <c r="P34" i="61"/>
  <c r="F136" i="60"/>
  <c r="H136" i="60" s="1"/>
  <c r="F78" i="60"/>
  <c r="J78" i="60" s="1"/>
  <c r="M21" i="61" s="1"/>
  <c r="F142" i="60"/>
  <c r="H142" i="60" s="1"/>
  <c r="F141" i="60"/>
  <c r="H141" i="60" s="1"/>
  <c r="K140" i="60"/>
  <c r="K138" i="60"/>
  <c r="K137" i="60"/>
  <c r="H137" i="60"/>
  <c r="K67" i="60"/>
  <c r="I132" i="60"/>
  <c r="I123" i="60"/>
  <c r="I35" i="61" s="1"/>
  <c r="H123" i="60"/>
  <c r="H35" i="61" s="1"/>
  <c r="P4" i="61"/>
  <c r="F135" i="60"/>
  <c r="H135" i="60" s="1"/>
  <c r="F140" i="60"/>
  <c r="H140" i="60" s="1"/>
  <c r="F139" i="60"/>
  <c r="H139" i="60" s="1"/>
  <c r="F138" i="60"/>
  <c r="H138" i="60" s="1"/>
  <c r="F134" i="60"/>
  <c r="H134" i="60" s="1"/>
  <c r="G133" i="60"/>
  <c r="K133" i="60" s="1"/>
  <c r="F133" i="60"/>
  <c r="H133" i="60" s="1"/>
  <c r="K118" i="60"/>
  <c r="N54" i="61" s="1"/>
  <c r="K120" i="60"/>
  <c r="N17" i="61" s="1"/>
  <c r="K91" i="60"/>
  <c r="K84" i="60"/>
  <c r="N56" i="61" s="1"/>
  <c r="I80" i="60"/>
  <c r="K80" i="60" s="1"/>
  <c r="N8" i="61" s="1"/>
  <c r="K89" i="60"/>
  <c r="K88" i="60"/>
  <c r="F121" i="60"/>
  <c r="P47" i="61"/>
  <c r="F131" i="60"/>
  <c r="H131" i="60" s="1"/>
  <c r="H47" i="61" s="1"/>
  <c r="F132" i="60"/>
  <c r="H132" i="60" s="1"/>
  <c r="I128" i="60"/>
  <c r="I129" i="60"/>
  <c r="H129" i="60"/>
  <c r="K125" i="60"/>
  <c r="I114" i="60"/>
  <c r="H114" i="60"/>
  <c r="F128" i="60"/>
  <c r="H128" i="60" s="1"/>
  <c r="I127" i="60"/>
  <c r="H127" i="60"/>
  <c r="I122" i="60"/>
  <c r="I27" i="60"/>
  <c r="K27" i="60" s="1"/>
  <c r="N30" i="61" s="1"/>
  <c r="I100" i="60"/>
  <c r="I81" i="60"/>
  <c r="I18" i="61" s="1"/>
  <c r="I83" i="60"/>
  <c r="I12" i="61" s="1"/>
  <c r="K90" i="60"/>
  <c r="I32" i="60"/>
  <c r="K32" i="60" s="1"/>
  <c r="N45" i="61" s="1"/>
  <c r="I107" i="60"/>
  <c r="I85" i="60"/>
  <c r="I92" i="60"/>
  <c r="I115" i="60"/>
  <c r="I55" i="60"/>
  <c r="K55" i="60" s="1"/>
  <c r="N31" i="61" s="1"/>
  <c r="F125" i="60"/>
  <c r="H125" i="60" s="1"/>
  <c r="I30" i="60"/>
  <c r="K30" i="60" s="1"/>
  <c r="N43" i="61" s="1"/>
  <c r="I38" i="60"/>
  <c r="K38" i="60" s="1"/>
  <c r="N53" i="61" s="1"/>
  <c r="I112" i="60"/>
  <c r="H112" i="60"/>
  <c r="I34" i="60"/>
  <c r="K34" i="60" s="1"/>
  <c r="N49" i="61" s="1"/>
  <c r="I110" i="60"/>
  <c r="I49" i="61" s="1"/>
  <c r="I99" i="60"/>
  <c r="I24" i="60"/>
  <c r="K24" i="60" s="1"/>
  <c r="N26" i="61" s="1"/>
  <c r="I21" i="60"/>
  <c r="K21" i="60" s="1"/>
  <c r="N19" i="61" s="1"/>
  <c r="I96" i="60"/>
  <c r="I19" i="61" s="1"/>
  <c r="I26" i="60"/>
  <c r="K26" i="60" s="1"/>
  <c r="N29" i="61" s="1"/>
  <c r="I102" i="60"/>
  <c r="I29" i="60"/>
  <c r="K29" i="60" s="1"/>
  <c r="N37" i="61" s="1"/>
  <c r="I104" i="60"/>
  <c r="I37" i="61" s="1"/>
  <c r="I111" i="60"/>
  <c r="I28" i="60"/>
  <c r="K28" i="60" s="1"/>
  <c r="N36" i="61" s="1"/>
  <c r="I103" i="60"/>
  <c r="I35" i="60"/>
  <c r="K35" i="60" s="1"/>
  <c r="N51" i="61" s="1"/>
  <c r="I37" i="60"/>
  <c r="K37" i="60" s="1"/>
  <c r="N55" i="61" s="1"/>
  <c r="I113" i="60"/>
  <c r="I31" i="60"/>
  <c r="K31" i="60" s="1"/>
  <c r="N44" i="61" s="1"/>
  <c r="I105" i="60"/>
  <c r="I44" i="61" s="1"/>
  <c r="I98" i="60"/>
  <c r="I33" i="60"/>
  <c r="K33" i="60" s="1"/>
  <c r="N48" i="61" s="1"/>
  <c r="I108" i="60"/>
  <c r="I25" i="60"/>
  <c r="K25" i="60" s="1"/>
  <c r="N27" i="61" s="1"/>
  <c r="I101" i="60"/>
  <c r="I22" i="60"/>
  <c r="K22" i="60" s="1"/>
  <c r="N23" i="61" s="1"/>
  <c r="I97" i="60"/>
  <c r="I19" i="60"/>
  <c r="K19" i="60" s="1"/>
  <c r="N6" i="61" s="1"/>
  <c r="I94" i="60"/>
  <c r="I106" i="60"/>
  <c r="C35" i="61"/>
  <c r="C4" i="61"/>
  <c r="I95" i="60"/>
  <c r="I20" i="60"/>
  <c r="K20" i="60" s="1"/>
  <c r="N7" i="61" s="1"/>
  <c r="P54" i="61"/>
  <c r="P50" i="61"/>
  <c r="P28" i="61"/>
  <c r="F124" i="60"/>
  <c r="H124" i="60" s="1"/>
  <c r="M35" i="61"/>
  <c r="M42" i="61"/>
  <c r="F120" i="60"/>
  <c r="H120" i="60" s="1"/>
  <c r="F119" i="60"/>
  <c r="P40" i="61"/>
  <c r="F93" i="60"/>
  <c r="K93" i="60" s="1"/>
  <c r="F92" i="60"/>
  <c r="H92" i="60"/>
  <c r="P9" i="61"/>
  <c r="P53" i="61"/>
  <c r="F108" i="60"/>
  <c r="H108" i="60" s="1"/>
  <c r="P48" i="61"/>
  <c r="F111" i="60"/>
  <c r="H111" i="60" s="1"/>
  <c r="P52" i="61"/>
  <c r="F113" i="60"/>
  <c r="H113" i="60" s="1"/>
  <c r="P55" i="61"/>
  <c r="F109" i="60"/>
  <c r="H109" i="60" s="1"/>
  <c r="P51" i="61"/>
  <c r="F110" i="60"/>
  <c r="H110" i="60" s="1"/>
  <c r="P49" i="61"/>
  <c r="F107" i="60"/>
  <c r="H107" i="60" s="1"/>
  <c r="P45" i="61"/>
  <c r="F105" i="60"/>
  <c r="H105" i="60" s="1"/>
  <c r="P44" i="61"/>
  <c r="F104" i="60"/>
  <c r="H104" i="60" s="1"/>
  <c r="P37" i="61"/>
  <c r="F106" i="60"/>
  <c r="P43" i="61"/>
  <c r="F103" i="60"/>
  <c r="H103" i="60" s="1"/>
  <c r="P36" i="61"/>
  <c r="F102" i="60"/>
  <c r="H102" i="60" s="1"/>
  <c r="P29" i="61"/>
  <c r="F101" i="60"/>
  <c r="H101" i="60"/>
  <c r="P27" i="61"/>
  <c r="F98" i="60"/>
  <c r="H98" i="60" s="1"/>
  <c r="P24" i="61"/>
  <c r="F100" i="60"/>
  <c r="H100" i="60" s="1"/>
  <c r="P30" i="61"/>
  <c r="F99" i="60"/>
  <c r="H99" i="60" s="1"/>
  <c r="P26" i="61"/>
  <c r="F97" i="60"/>
  <c r="H97" i="60"/>
  <c r="P23" i="61"/>
  <c r="H96" i="60"/>
  <c r="P19" i="61"/>
  <c r="F94" i="60"/>
  <c r="H94" i="60" s="1"/>
  <c r="P6" i="61"/>
  <c r="F95" i="60"/>
  <c r="H95" i="60" s="1"/>
  <c r="F91" i="60"/>
  <c r="H91" i="60" s="1"/>
  <c r="F85" i="60"/>
  <c r="H85" i="60" s="1"/>
  <c r="P33" i="61"/>
  <c r="F87" i="60"/>
  <c r="H87" i="60"/>
  <c r="P5" i="61"/>
  <c r="F90" i="60"/>
  <c r="H90" i="60" s="1"/>
  <c r="F89" i="60"/>
  <c r="H89" i="60" s="1"/>
  <c r="F88" i="60"/>
  <c r="H88" i="60"/>
  <c r="F122" i="60"/>
  <c r="H122" i="60" s="1"/>
  <c r="F86" i="60"/>
  <c r="D20" i="61" s="1"/>
  <c r="P20" i="61"/>
  <c r="F81" i="60"/>
  <c r="H81" i="60" s="1"/>
  <c r="P18" i="61"/>
  <c r="P56" i="61"/>
  <c r="F83" i="60"/>
  <c r="H83" i="60" s="1"/>
  <c r="F118" i="60"/>
  <c r="H118" i="60" s="1"/>
  <c r="H54" i="61" s="1"/>
  <c r="I75" i="60"/>
  <c r="F82" i="60"/>
  <c r="I82" i="60" s="1"/>
  <c r="K82" i="60" s="1"/>
  <c r="P10" i="61"/>
  <c r="K79" i="60"/>
  <c r="N46" i="61" s="1"/>
  <c r="F79" i="60"/>
  <c r="D46" i="61" s="1"/>
  <c r="H79" i="60"/>
  <c r="H46" i="61" s="1"/>
  <c r="F53" i="60"/>
  <c r="H53" i="60" s="1"/>
  <c r="I5" i="60"/>
  <c r="I74" i="60"/>
  <c r="F74" i="60"/>
  <c r="H74" i="60" s="1"/>
  <c r="F116" i="60"/>
  <c r="H116" i="60" s="1"/>
  <c r="M25" i="61"/>
  <c r="F115" i="60"/>
  <c r="H115" i="60"/>
  <c r="F80" i="60"/>
  <c r="H80" i="60" s="1"/>
  <c r="F77" i="60"/>
  <c r="H77" i="60"/>
  <c r="I69" i="60"/>
  <c r="I62" i="60"/>
  <c r="F76" i="60"/>
  <c r="H76" i="60" s="1"/>
  <c r="I71" i="60"/>
  <c r="K72" i="60"/>
  <c r="I70" i="60"/>
  <c r="H70" i="60"/>
  <c r="I56" i="60"/>
  <c r="K56" i="60" s="1"/>
  <c r="N11" i="61" s="1"/>
  <c r="K16" i="60"/>
  <c r="N41" i="61" s="1"/>
  <c r="K68" i="60"/>
  <c r="F75" i="60"/>
  <c r="F73" i="60"/>
  <c r="F49" i="60"/>
  <c r="H49" i="60" s="1"/>
  <c r="I51" i="60"/>
  <c r="F72" i="60"/>
  <c r="H72" i="60"/>
  <c r="K63" i="60"/>
  <c r="I57" i="60"/>
  <c r="I17" i="61" s="1"/>
  <c r="F57" i="60"/>
  <c r="H57" i="60" s="1"/>
  <c r="K54" i="60"/>
  <c r="K45" i="60"/>
  <c r="F71" i="60"/>
  <c r="H71" i="60" s="1"/>
  <c r="F69" i="60"/>
  <c r="H69" i="60" s="1"/>
  <c r="H68" i="60"/>
  <c r="H67" i="60"/>
  <c r="I66" i="60"/>
  <c r="I59" i="60"/>
  <c r="I58" i="60"/>
  <c r="K44" i="60"/>
  <c r="K61" i="60"/>
  <c r="K51" i="60"/>
  <c r="H51" i="60"/>
  <c r="K50" i="60"/>
  <c r="F66" i="60"/>
  <c r="H66" i="60" s="1"/>
  <c r="F65" i="60"/>
  <c r="H65" i="60" s="1"/>
  <c r="F64" i="60"/>
  <c r="I64" i="60" s="1"/>
  <c r="K64" i="60" s="1"/>
  <c r="K47" i="60"/>
  <c r="F63" i="60"/>
  <c r="H63" i="60" s="1"/>
  <c r="F54" i="60"/>
  <c r="H54" i="60" s="1"/>
  <c r="I42" i="60"/>
  <c r="F59" i="61"/>
  <c r="H59" i="61"/>
  <c r="J59" i="61"/>
  <c r="K46" i="60"/>
  <c r="H46" i="60"/>
  <c r="F62" i="60"/>
  <c r="H62" i="60"/>
  <c r="F61" i="60"/>
  <c r="H61" i="60" s="1"/>
  <c r="F34" i="60"/>
  <c r="F32" i="60"/>
  <c r="H32" i="60" s="1"/>
  <c r="F26" i="60"/>
  <c r="H26" i="60" s="1"/>
  <c r="F52" i="60"/>
  <c r="H52" i="60" s="1"/>
  <c r="I40" i="60"/>
  <c r="K48" i="60"/>
  <c r="F25" i="60"/>
  <c r="H25" i="60"/>
  <c r="F56" i="60"/>
  <c r="H56" i="60"/>
  <c r="F60" i="60"/>
  <c r="H60" i="60" s="1"/>
  <c r="K52" i="60"/>
  <c r="K39" i="60"/>
  <c r="I17" i="60"/>
  <c r="H17" i="60"/>
  <c r="F58" i="60"/>
  <c r="H58" i="60" s="1"/>
  <c r="F59" i="60"/>
  <c r="H59" i="60" s="1"/>
  <c r="F45" i="60"/>
  <c r="H45" i="60" s="1"/>
  <c r="D16" i="61"/>
  <c r="F44" i="60"/>
  <c r="H44" i="60" s="1"/>
  <c r="F55" i="60"/>
  <c r="H55" i="60"/>
  <c r="F47" i="60"/>
  <c r="H47" i="60" s="1"/>
  <c r="F42" i="60"/>
  <c r="H42" i="60" s="1"/>
  <c r="F19" i="60"/>
  <c r="H19" i="60" s="1"/>
  <c r="H30" i="60"/>
  <c r="H43" i="61" s="1"/>
  <c r="F23" i="60"/>
  <c r="I23" i="60" s="1"/>
  <c r="K18" i="60"/>
  <c r="K15" i="60"/>
  <c r="N18" i="61" s="1"/>
  <c r="H15" i="60"/>
  <c r="F50" i="60"/>
  <c r="H50" i="60" s="1"/>
  <c r="F38" i="60"/>
  <c r="H38" i="60" s="1"/>
  <c r="F24" i="60"/>
  <c r="H24" i="60" s="1"/>
  <c r="F21" i="60"/>
  <c r="H21" i="60" s="1"/>
  <c r="F36" i="60"/>
  <c r="I36" i="60" s="1"/>
  <c r="K36" i="60" s="1"/>
  <c r="N52" i="61" s="1"/>
  <c r="F29" i="60"/>
  <c r="H29" i="60" s="1"/>
  <c r="F35" i="60"/>
  <c r="H35" i="60"/>
  <c r="F37" i="60"/>
  <c r="H37" i="60" s="1"/>
  <c r="F31" i="60"/>
  <c r="H31" i="60" s="1"/>
  <c r="F28" i="60"/>
  <c r="H28" i="60" s="1"/>
  <c r="F27" i="60"/>
  <c r="H27" i="60" s="1"/>
  <c r="F48" i="60"/>
  <c r="H48" i="60" s="1"/>
  <c r="F41" i="60"/>
  <c r="H41" i="60" s="1"/>
  <c r="F40" i="60"/>
  <c r="H40" i="60" s="1"/>
  <c r="M12" i="61"/>
  <c r="F39" i="60"/>
  <c r="F22" i="60"/>
  <c r="H22" i="60" s="1"/>
  <c r="F20" i="60"/>
  <c r="H20" i="60" s="1"/>
  <c r="K9" i="60"/>
  <c r="K10" i="60"/>
  <c r="F33" i="60"/>
  <c r="H33" i="60" s="1"/>
  <c r="F18" i="60"/>
  <c r="H18" i="60" s="1"/>
  <c r="A1" i="59"/>
  <c r="A1" i="61"/>
  <c r="I8" i="60"/>
  <c r="K8" i="60" s="1"/>
  <c r="I14" i="60"/>
  <c r="H14" i="60"/>
  <c r="K13" i="60"/>
  <c r="H13" i="60"/>
  <c r="I12" i="60"/>
  <c r="I7" i="60"/>
  <c r="H6" i="60"/>
  <c r="H21" i="61"/>
  <c r="H56" i="61"/>
  <c r="E5" i="61"/>
  <c r="E6" i="61"/>
  <c r="E7" i="61"/>
  <c r="E8" i="61"/>
  <c r="E9" i="61"/>
  <c r="E10" i="61"/>
  <c r="E11" i="61"/>
  <c r="E12" i="61"/>
  <c r="E13" i="61"/>
  <c r="E14" i="61"/>
  <c r="E15" i="61"/>
  <c r="E16" i="61"/>
  <c r="E17" i="61"/>
  <c r="E18" i="61"/>
  <c r="E19" i="61"/>
  <c r="E20" i="61"/>
  <c r="E21" i="61"/>
  <c r="E22" i="61"/>
  <c r="E23" i="61"/>
  <c r="E24" i="61"/>
  <c r="E25" i="61"/>
  <c r="E26" i="61"/>
  <c r="E27" i="61"/>
  <c r="E28" i="61"/>
  <c r="E29" i="61"/>
  <c r="E30" i="61"/>
  <c r="E31" i="61"/>
  <c r="E32" i="61"/>
  <c r="E33" i="61"/>
  <c r="E35" i="61"/>
  <c r="E36" i="61"/>
  <c r="E37" i="61"/>
  <c r="E38" i="61"/>
  <c r="E39" i="61"/>
  <c r="E40" i="61"/>
  <c r="E41" i="61"/>
  <c r="E42" i="61"/>
  <c r="E43" i="61"/>
  <c r="E44" i="61"/>
  <c r="E45" i="61"/>
  <c r="E46" i="61"/>
  <c r="E47" i="61"/>
  <c r="E48" i="61"/>
  <c r="E49" i="61"/>
  <c r="E50" i="61"/>
  <c r="E51" i="61"/>
  <c r="E52" i="61"/>
  <c r="E53" i="61"/>
  <c r="E54" i="61"/>
  <c r="E55" i="61"/>
  <c r="E56" i="61"/>
  <c r="E4" i="61"/>
  <c r="D11" i="61"/>
  <c r="D23" i="61"/>
  <c r="D29" i="61"/>
  <c r="D35" i="61"/>
  <c r="D43" i="61"/>
  <c r="D56" i="61"/>
  <c r="I5" i="61"/>
  <c r="I13" i="61"/>
  <c r="I15" i="61"/>
  <c r="I16" i="61"/>
  <c r="I21" i="61"/>
  <c r="I25" i="61"/>
  <c r="I38" i="61"/>
  <c r="I42" i="61"/>
  <c r="I46" i="61"/>
  <c r="I54" i="61"/>
  <c r="I56" i="61"/>
  <c r="M5" i="61"/>
  <c r="M9" i="61"/>
  <c r="M10" i="61"/>
  <c r="M11" i="61"/>
  <c r="M13" i="61"/>
  <c r="M14" i="61"/>
  <c r="M15" i="61"/>
  <c r="M16" i="61"/>
  <c r="M17" i="61"/>
  <c r="M20" i="61"/>
  <c r="M22" i="61"/>
  <c r="M28" i="61"/>
  <c r="M31" i="61"/>
  <c r="M32" i="61"/>
  <c r="M33" i="61"/>
  <c r="M34" i="61"/>
  <c r="M38" i="61"/>
  <c r="M40" i="61"/>
  <c r="M46" i="61"/>
  <c r="M47" i="61"/>
  <c r="M49" i="61"/>
  <c r="M50" i="61"/>
  <c r="M51" i="61"/>
  <c r="M53" i="61"/>
  <c r="M54" i="61"/>
  <c r="M55" i="61"/>
  <c r="M56" i="61"/>
  <c r="N5" i="61"/>
  <c r="N9" i="61"/>
  <c r="N12" i="61"/>
  <c r="N21" i="61"/>
  <c r="N22" i="61"/>
  <c r="N28" i="61"/>
  <c r="N33" i="61"/>
  <c r="N35" i="61"/>
  <c r="N42" i="61"/>
  <c r="O5" i="61"/>
  <c r="O6" i="61"/>
  <c r="O7" i="61"/>
  <c r="O8" i="61"/>
  <c r="O9" i="61"/>
  <c r="O10" i="61"/>
  <c r="O11" i="61"/>
  <c r="O12" i="61"/>
  <c r="O13" i="61"/>
  <c r="O14" i="61"/>
  <c r="O15" i="61"/>
  <c r="O16" i="61"/>
  <c r="O17" i="61"/>
  <c r="O18" i="61"/>
  <c r="O19" i="61"/>
  <c r="O20" i="61"/>
  <c r="O21" i="61"/>
  <c r="O22" i="61"/>
  <c r="O23" i="61"/>
  <c r="O24" i="61"/>
  <c r="O25" i="61"/>
  <c r="O26" i="61"/>
  <c r="O27" i="61"/>
  <c r="O28" i="61"/>
  <c r="O29" i="61"/>
  <c r="O30" i="61"/>
  <c r="O31" i="61"/>
  <c r="O32" i="61"/>
  <c r="O33" i="61"/>
  <c r="O34" i="61"/>
  <c r="O35" i="61"/>
  <c r="O36" i="61"/>
  <c r="O37" i="61"/>
  <c r="O38" i="61"/>
  <c r="O39" i="61"/>
  <c r="O40" i="61"/>
  <c r="O41" i="61"/>
  <c r="O42" i="61"/>
  <c r="O43" i="61"/>
  <c r="O44" i="61"/>
  <c r="O45" i="61"/>
  <c r="O46" i="61"/>
  <c r="O47" i="61"/>
  <c r="O48" i="61"/>
  <c r="O49" i="61"/>
  <c r="O50" i="61"/>
  <c r="O51" i="61"/>
  <c r="O52" i="61"/>
  <c r="O53" i="61"/>
  <c r="O54" i="61"/>
  <c r="O55" i="61"/>
  <c r="O56" i="61"/>
  <c r="Q5" i="61"/>
  <c r="Q6" i="61"/>
  <c r="Q7" i="61"/>
  <c r="Q8" i="61"/>
  <c r="Q9" i="61"/>
  <c r="Q10" i="61"/>
  <c r="Q11" i="61"/>
  <c r="Q12" i="61"/>
  <c r="Q13" i="61"/>
  <c r="Q14" i="61"/>
  <c r="Q15" i="61"/>
  <c r="Q16" i="61"/>
  <c r="Q17" i="61"/>
  <c r="Q18" i="61"/>
  <c r="Q19" i="61"/>
  <c r="Q20" i="61"/>
  <c r="Q21" i="61"/>
  <c r="Q22" i="61"/>
  <c r="Q23" i="61"/>
  <c r="Q24" i="61"/>
  <c r="Q25" i="61"/>
  <c r="Q26" i="61"/>
  <c r="Q27" i="61"/>
  <c r="Q28" i="61"/>
  <c r="Q29" i="61"/>
  <c r="Q30" i="61"/>
  <c r="Q31" i="61"/>
  <c r="Q32" i="61"/>
  <c r="Q33" i="61"/>
  <c r="Q34" i="61"/>
  <c r="Q35" i="61"/>
  <c r="Q36" i="61"/>
  <c r="Q37" i="61"/>
  <c r="Q38" i="61"/>
  <c r="Q39" i="61"/>
  <c r="Q40" i="61"/>
  <c r="Q41" i="61"/>
  <c r="Q42" i="61"/>
  <c r="Q43" i="61"/>
  <c r="Q44" i="61"/>
  <c r="Q45" i="61"/>
  <c r="Q46" i="61"/>
  <c r="Q47" i="61"/>
  <c r="Q48" i="61"/>
  <c r="Q49" i="61"/>
  <c r="Q50" i="61"/>
  <c r="Q51" i="61"/>
  <c r="Q52" i="61"/>
  <c r="Q53" i="61"/>
  <c r="Q54" i="61"/>
  <c r="Q55" i="61"/>
  <c r="Q56" i="61"/>
  <c r="P7" i="61"/>
  <c r="P11" i="61"/>
  <c r="P17" i="61"/>
  <c r="P21" i="61"/>
  <c r="P22" i="61"/>
  <c r="P32" i="61"/>
  <c r="P35" i="61"/>
  <c r="P39" i="61"/>
  <c r="P46" i="61"/>
  <c r="Q4" i="61"/>
  <c r="O4" i="61"/>
  <c r="F11" i="60"/>
  <c r="H11" i="60" s="1"/>
  <c r="F12" i="60"/>
  <c r="H12" i="60" s="1"/>
  <c r="P31" i="61"/>
  <c r="F10" i="60"/>
  <c r="H10" i="60" s="1"/>
  <c r="F9" i="60"/>
  <c r="H9" i="60"/>
  <c r="F8" i="60"/>
  <c r="H8" i="60" s="1"/>
  <c r="F7" i="60"/>
  <c r="H7" i="60" s="1"/>
  <c r="M26" i="61"/>
  <c r="M19" i="61"/>
  <c r="M52" i="61"/>
  <c r="M29" i="61"/>
  <c r="M37" i="61"/>
  <c r="M45" i="61"/>
  <c r="M44" i="61"/>
  <c r="M36" i="61"/>
  <c r="M30" i="61"/>
  <c r="M24" i="61"/>
  <c r="M23" i="61"/>
  <c r="M6" i="61"/>
  <c r="M43" i="61"/>
  <c r="M7" i="61"/>
  <c r="M27" i="61"/>
  <c r="M48" i="61"/>
  <c r="M39" i="61"/>
  <c r="M8" i="61"/>
  <c r="M41" i="61"/>
  <c r="M18" i="61"/>
  <c r="M4" i="61"/>
  <c r="F5" i="60"/>
  <c r="N310" i="60"/>
  <c r="M310" i="60"/>
  <c r="L310" i="60"/>
  <c r="K310" i="60"/>
  <c r="J310" i="60"/>
  <c r="I310" i="60"/>
  <c r="H310" i="60"/>
  <c r="G310" i="60"/>
  <c r="F310" i="60"/>
  <c r="D27" i="61"/>
  <c r="D9" i="61"/>
  <c r="I116" i="60"/>
  <c r="K116" i="60" s="1"/>
  <c r="I86" i="60"/>
  <c r="K86" i="60" s="1"/>
  <c r="N20" i="61" s="1"/>
  <c r="D26" i="61"/>
  <c r="D51" i="61" l="1"/>
  <c r="F51" i="61" s="1"/>
  <c r="P42" i="61"/>
  <c r="H121" i="60"/>
  <c r="H42" i="61" s="1"/>
  <c r="J42" i="61" s="1"/>
  <c r="G42" i="61" s="1"/>
  <c r="D48" i="61"/>
  <c r="F48" i="61" s="1"/>
  <c r="I8" i="61"/>
  <c r="H73" i="60"/>
  <c r="H32" i="61" s="1"/>
  <c r="I73" i="60"/>
  <c r="K73" i="60" s="1"/>
  <c r="I77" i="60"/>
  <c r="K77" i="60" s="1"/>
  <c r="D50" i="61"/>
  <c r="F50" i="61" s="1"/>
  <c r="D18" i="61"/>
  <c r="F18" i="61" s="1"/>
  <c r="F35" i="61"/>
  <c r="H12" i="61"/>
  <c r="J12" i="61" s="1"/>
  <c r="G12" i="61" s="1"/>
  <c r="I26" i="61"/>
  <c r="I31" i="61"/>
  <c r="H64" i="60"/>
  <c r="H14" i="61" s="1"/>
  <c r="D17" i="61"/>
  <c r="F17" i="61" s="1"/>
  <c r="K5" i="60"/>
  <c r="H36" i="60"/>
  <c r="H52" i="61" s="1"/>
  <c r="H93" i="60"/>
  <c r="D8" i="61"/>
  <c r="F8" i="61" s="1"/>
  <c r="D28" i="61"/>
  <c r="F28" i="61" s="1"/>
  <c r="D15" i="61"/>
  <c r="F15" i="61" s="1"/>
  <c r="D40" i="61"/>
  <c r="F40" i="61" s="1"/>
  <c r="D41" i="61"/>
  <c r="F41" i="61" s="1"/>
  <c r="I23" i="61"/>
  <c r="I48" i="61"/>
  <c r="I36" i="61"/>
  <c r="D52" i="61"/>
  <c r="F52" i="61" s="1"/>
  <c r="D31" i="61"/>
  <c r="F31" i="61" s="1"/>
  <c r="D45" i="61"/>
  <c r="F45" i="61" s="1"/>
  <c r="I7" i="61"/>
  <c r="I131" i="60"/>
  <c r="K131" i="60" s="1"/>
  <c r="N47" i="61" s="1"/>
  <c r="D12" i="61"/>
  <c r="H82" i="60"/>
  <c r="H10" i="61" s="1"/>
  <c r="D25" i="61"/>
  <c r="F25" i="61" s="1"/>
  <c r="D53" i="61"/>
  <c r="F53" i="61" s="1"/>
  <c r="D34" i="61"/>
  <c r="D21" i="61"/>
  <c r="R21" i="61" s="1"/>
  <c r="D13" i="61"/>
  <c r="F13" i="61" s="1"/>
  <c r="D49" i="61"/>
  <c r="F49" i="61" s="1"/>
  <c r="H75" i="60"/>
  <c r="H41" i="61" s="1"/>
  <c r="D39" i="61"/>
  <c r="F39" i="61" s="1"/>
  <c r="D54" i="61"/>
  <c r="F54" i="61" s="1"/>
  <c r="D5" i="61"/>
  <c r="F5" i="61" s="1"/>
  <c r="D10" i="61"/>
  <c r="F10" i="61" s="1"/>
  <c r="D32" i="61"/>
  <c r="F32" i="61" s="1"/>
  <c r="D19" i="61"/>
  <c r="F19" i="61" s="1"/>
  <c r="D7" i="61"/>
  <c r="F7" i="61" s="1"/>
  <c r="E34" i="61"/>
  <c r="H39" i="60"/>
  <c r="I39" i="61"/>
  <c r="D44" i="61"/>
  <c r="F44" i="61" s="1"/>
  <c r="F43" i="61"/>
  <c r="I41" i="61"/>
  <c r="H86" i="60"/>
  <c r="H20" i="61" s="1"/>
  <c r="D14" i="61"/>
  <c r="F14" i="61" s="1"/>
  <c r="H119" i="60"/>
  <c r="H50" i="61" s="1"/>
  <c r="D36" i="61"/>
  <c r="F36" i="61" s="1"/>
  <c r="I51" i="61"/>
  <c r="D42" i="61"/>
  <c r="F42" i="61" s="1"/>
  <c r="D6" i="61"/>
  <c r="F6" i="61" s="1"/>
  <c r="I119" i="60"/>
  <c r="K119" i="60" s="1"/>
  <c r="N50" i="61" s="1"/>
  <c r="D22" i="61"/>
  <c r="F22" i="61" s="1"/>
  <c r="D55" i="61"/>
  <c r="F55" i="61" s="1"/>
  <c r="D47" i="61"/>
  <c r="D38" i="61"/>
  <c r="F38" i="61" s="1"/>
  <c r="D33" i="61"/>
  <c r="F33" i="61" s="1"/>
  <c r="H23" i="60"/>
  <c r="H24" i="61" s="1"/>
  <c r="I60" i="60"/>
  <c r="K60" i="60" s="1"/>
  <c r="N14" i="61" s="1"/>
  <c r="H34" i="60"/>
  <c r="H49" i="61" s="1"/>
  <c r="J49" i="61" s="1"/>
  <c r="G49" i="61" s="1"/>
  <c r="I43" i="61"/>
  <c r="J43" i="61" s="1"/>
  <c r="G43" i="61" s="1"/>
  <c r="I55" i="61"/>
  <c r="I29" i="61"/>
  <c r="I30" i="61"/>
  <c r="D30" i="61"/>
  <c r="F30" i="61" s="1"/>
  <c r="D4" i="61"/>
  <c r="F4" i="61" s="1"/>
  <c r="D24" i="61"/>
  <c r="F24" i="61" s="1"/>
  <c r="D37" i="61"/>
  <c r="F37" i="61" s="1"/>
  <c r="I11" i="61"/>
  <c r="I6" i="61"/>
  <c r="I27" i="61"/>
  <c r="I53" i="61"/>
  <c r="I45" i="61"/>
  <c r="H28" i="61"/>
  <c r="H48" i="61"/>
  <c r="I20" i="61"/>
  <c r="H26" i="61"/>
  <c r="H17" i="61"/>
  <c r="K74" i="60"/>
  <c r="N39" i="61" s="1"/>
  <c r="I28" i="61"/>
  <c r="H13" i="61"/>
  <c r="J13" i="61" s="1"/>
  <c r="G13" i="61" s="1"/>
  <c r="H33" i="61"/>
  <c r="H18" i="61"/>
  <c r="J18" i="61" s="1"/>
  <c r="G18" i="61" s="1"/>
  <c r="I24" i="61"/>
  <c r="H6" i="61"/>
  <c r="H38" i="61"/>
  <c r="J38" i="61" s="1"/>
  <c r="G38" i="61" s="1"/>
  <c r="H16" i="61"/>
  <c r="J16" i="61" s="1"/>
  <c r="G16" i="61" s="1"/>
  <c r="P25" i="61"/>
  <c r="H45" i="61"/>
  <c r="N34" i="61"/>
  <c r="I40" i="61"/>
  <c r="N10" i="61"/>
  <c r="H34" i="61"/>
  <c r="H37" i="61"/>
  <c r="J37" i="61" s="1"/>
  <c r="G37" i="61" s="1"/>
  <c r="F20" i="61"/>
  <c r="H27" i="61"/>
  <c r="H19" i="61"/>
  <c r="H53" i="61"/>
  <c r="F23" i="61"/>
  <c r="J35" i="61"/>
  <c r="G35" i="61" s="1"/>
  <c r="I10" i="61"/>
  <c r="H36" i="61"/>
  <c r="I33" i="61"/>
  <c r="H39" i="61"/>
  <c r="H15" i="61"/>
  <c r="J15" i="61" s="1"/>
  <c r="G15" i="61" s="1"/>
  <c r="H5" i="61"/>
  <c r="J5" i="61" s="1"/>
  <c r="G5" i="61" s="1"/>
  <c r="H7" i="61"/>
  <c r="H55" i="61"/>
  <c r="N15" i="61"/>
  <c r="N13" i="61"/>
  <c r="N38" i="61"/>
  <c r="H11" i="61"/>
  <c r="H31" i="61"/>
  <c r="I4" i="61"/>
  <c r="K23" i="60"/>
  <c r="N24" i="61" s="1"/>
  <c r="F27" i="61"/>
  <c r="H22" i="61"/>
  <c r="H4" i="61"/>
  <c r="K4" i="61" s="1"/>
  <c r="N4" i="61"/>
  <c r="N25" i="61"/>
  <c r="H23" i="61"/>
  <c r="H9" i="61"/>
  <c r="H30" i="61"/>
  <c r="H44" i="61"/>
  <c r="J44" i="61" s="1"/>
  <c r="G44" i="61" s="1"/>
  <c r="H51" i="61"/>
  <c r="H8" i="61"/>
  <c r="H29" i="61"/>
  <c r="I22" i="61"/>
  <c r="I9" i="61"/>
  <c r="I34" i="61"/>
  <c r="I52" i="61"/>
  <c r="N40" i="61"/>
  <c r="M58" i="61"/>
  <c r="J56" i="61"/>
  <c r="G56" i="61" s="1"/>
  <c r="N16" i="61"/>
  <c r="J46" i="61"/>
  <c r="G46" i="61" s="1"/>
  <c r="J21" i="61"/>
  <c r="G21" i="61" s="1"/>
  <c r="F11" i="61"/>
  <c r="J54" i="61"/>
  <c r="G54" i="61" s="1"/>
  <c r="F56" i="61"/>
  <c r="F9" i="61"/>
  <c r="R35" i="61"/>
  <c r="F26" i="61"/>
  <c r="F46" i="61"/>
  <c r="F29" i="61"/>
  <c r="R46" i="61"/>
  <c r="R56" i="61"/>
  <c r="F16" i="61"/>
  <c r="N32" i="61" l="1"/>
  <c r="J8" i="61"/>
  <c r="G8" i="61" s="1"/>
  <c r="P58" i="61"/>
  <c r="I32" i="61"/>
  <c r="J31" i="61"/>
  <c r="G31" i="61" s="1"/>
  <c r="R36" i="61"/>
  <c r="H303" i="60"/>
  <c r="I303" i="60"/>
  <c r="J45" i="61"/>
  <c r="G45" i="61" s="1"/>
  <c r="R12" i="61"/>
  <c r="J11" i="61"/>
  <c r="G11" i="61" s="1"/>
  <c r="J48" i="61"/>
  <c r="G48" i="61" s="1"/>
  <c r="R42" i="61"/>
  <c r="F34" i="61"/>
  <c r="F12" i="61"/>
  <c r="J51" i="61"/>
  <c r="G51" i="61" s="1"/>
  <c r="J20" i="61"/>
  <c r="G20" i="61" s="1"/>
  <c r="H40" i="61"/>
  <c r="J40" i="61" s="1"/>
  <c r="G40" i="61" s="1"/>
  <c r="J23" i="61"/>
  <c r="G23" i="61" s="1"/>
  <c r="R26" i="61"/>
  <c r="R41" i="61"/>
  <c r="J30" i="61"/>
  <c r="G30" i="61" s="1"/>
  <c r="R19" i="61"/>
  <c r="R17" i="61"/>
  <c r="R54" i="61"/>
  <c r="J53" i="61"/>
  <c r="G53" i="61" s="1"/>
  <c r="F21" i="61"/>
  <c r="I47" i="61"/>
  <c r="J47" i="61" s="1"/>
  <c r="G47" i="61" s="1"/>
  <c r="R43" i="61"/>
  <c r="J7" i="61"/>
  <c r="G7" i="61" s="1"/>
  <c r="J39" i="61"/>
  <c r="G39" i="61" s="1"/>
  <c r="J41" i="61"/>
  <c r="G41" i="61" s="1"/>
  <c r="J27" i="61"/>
  <c r="G27" i="61" s="1"/>
  <c r="R55" i="61"/>
  <c r="J6" i="61"/>
  <c r="G6" i="61" s="1"/>
  <c r="R48" i="61"/>
  <c r="F47" i="61"/>
  <c r="I14" i="61"/>
  <c r="J14" i="61" s="1"/>
  <c r="G14" i="61" s="1"/>
  <c r="R29" i="61"/>
  <c r="I50" i="61"/>
  <c r="R50" i="61" s="1"/>
  <c r="J28" i="61"/>
  <c r="G28" i="61" s="1"/>
  <c r="J26" i="61"/>
  <c r="G26" i="61" s="1"/>
  <c r="R20" i="61"/>
  <c r="R45" i="61"/>
  <c r="R6" i="61"/>
  <c r="J17" i="61"/>
  <c r="G17" i="61" s="1"/>
  <c r="R13" i="61"/>
  <c r="R28" i="61"/>
  <c r="R38" i="61"/>
  <c r="J33" i="61"/>
  <c r="G33" i="61" s="1"/>
  <c r="R18" i="61"/>
  <c r="R53" i="61"/>
  <c r="J24" i="61"/>
  <c r="G24" i="61" s="1"/>
  <c r="R16" i="61"/>
  <c r="L4" i="61"/>
  <c r="J52" i="61"/>
  <c r="G52" i="61" s="1"/>
  <c r="J34" i="61"/>
  <c r="G34" i="61" s="1"/>
  <c r="R37" i="61"/>
  <c r="R27" i="61"/>
  <c r="J19" i="61"/>
  <c r="G19" i="61" s="1"/>
  <c r="J10" i="61"/>
  <c r="G10" i="61" s="1"/>
  <c r="R44" i="61"/>
  <c r="R33" i="61"/>
  <c r="R22" i="61"/>
  <c r="R30" i="61"/>
  <c r="R8" i="61"/>
  <c r="R11" i="61"/>
  <c r="J36" i="61"/>
  <c r="G36" i="61" s="1"/>
  <c r="J9" i="61"/>
  <c r="G9" i="61" s="1"/>
  <c r="R24" i="61"/>
  <c r="R4" i="61"/>
  <c r="J22" i="61"/>
  <c r="G22" i="61" s="1"/>
  <c r="R52" i="61"/>
  <c r="R49" i="61"/>
  <c r="R10" i="61"/>
  <c r="J55" i="61"/>
  <c r="G55" i="61" s="1"/>
  <c r="R9" i="61"/>
  <c r="R51" i="61"/>
  <c r="R23" i="61"/>
  <c r="J29" i="61"/>
  <c r="G29" i="61" s="1"/>
  <c r="J4" i="61"/>
  <c r="G4" i="61" s="1"/>
  <c r="R15" i="61"/>
  <c r="R39" i="61"/>
  <c r="R31" i="61"/>
  <c r="R5" i="61"/>
  <c r="R34" i="61"/>
  <c r="H25" i="61"/>
  <c r="R25" i="61" s="1"/>
  <c r="R32" i="61" l="1"/>
  <c r="J32" i="61"/>
  <c r="G32" i="61" s="1"/>
  <c r="I304" i="60"/>
  <c r="R40" i="61"/>
  <c r="R47" i="61"/>
  <c r="R14" i="61"/>
  <c r="J50" i="61"/>
  <c r="G50" i="61" s="1"/>
  <c r="J25" i="61"/>
  <c r="G25" i="61" s="1"/>
  <c r="J58" i="61" l="1"/>
  <c r="J62" i="61" s="1"/>
</calcChain>
</file>

<file path=xl/sharedStrings.xml><?xml version="1.0" encoding="utf-8"?>
<sst xmlns="http://schemas.openxmlformats.org/spreadsheetml/2006/main" count="1092" uniqueCount="160">
  <si>
    <t>State</t>
  </si>
  <si>
    <t>Rejected</t>
  </si>
  <si>
    <t>Total Paid</t>
  </si>
  <si>
    <t>Assistive Technology of Alaska</t>
  </si>
  <si>
    <t>AK</t>
  </si>
  <si>
    <t>Alabama Institute for the Deaf and Blind</t>
  </si>
  <si>
    <t>Perkins School for the Blind</t>
  </si>
  <si>
    <t>AR</t>
  </si>
  <si>
    <t>AZ</t>
  </si>
  <si>
    <t>Lighthouse for the Blind and Visually Impaired</t>
  </si>
  <si>
    <t>CA</t>
  </si>
  <si>
    <t>Colorado Commission for the Deaf and Hard of Hearing</t>
  </si>
  <si>
    <t>Connecticut Tech Act Project</t>
  </si>
  <si>
    <t>CT</t>
  </si>
  <si>
    <t>Columbia Lighthouse for the Blind</t>
  </si>
  <si>
    <t>DC</t>
  </si>
  <si>
    <t>University of Delaware - Center for Disabilities Studies</t>
  </si>
  <si>
    <t>DE</t>
  </si>
  <si>
    <t>FL</t>
  </si>
  <si>
    <t>GA</t>
  </si>
  <si>
    <t>Helen Keller National Center for Deaf-Blind Youths and Adults</t>
  </si>
  <si>
    <t>HI</t>
  </si>
  <si>
    <t>IA</t>
  </si>
  <si>
    <t>University of Idaho - Idaho Assistive Technology Project</t>
  </si>
  <si>
    <t>The Chicago Lighthouse for People Who Are Blind or Visually Impaired</t>
  </si>
  <si>
    <t>IL</t>
  </si>
  <si>
    <t>IN</t>
  </si>
  <si>
    <t>KS</t>
  </si>
  <si>
    <t>Eastern Kentucky University Center on Deafness and Hearing Loss</t>
  </si>
  <si>
    <t>Affiliated Blind of Louisiana Training Center</t>
  </si>
  <si>
    <t>MA</t>
  </si>
  <si>
    <t>MD</t>
  </si>
  <si>
    <t>ME</t>
  </si>
  <si>
    <t>MI</t>
  </si>
  <si>
    <t>MN</t>
  </si>
  <si>
    <t>Missouri Assistive Technology</t>
  </si>
  <si>
    <t>MT</t>
  </si>
  <si>
    <t>North Carolina Division of Services for the Deaf and the Hard of Hearing</t>
  </si>
  <si>
    <t>NC</t>
  </si>
  <si>
    <t>Interagency Program for Assistive Technology</t>
  </si>
  <si>
    <t>Nebraska Assistive Technology Partnership</t>
  </si>
  <si>
    <t>NE</t>
  </si>
  <si>
    <t>Northeast Deaf and Hard of Hearing Services, Inc.</t>
  </si>
  <si>
    <t>New Jersey Commission for the Blind and Visually Impaired</t>
  </si>
  <si>
    <t>NM</t>
  </si>
  <si>
    <t>NV</t>
  </si>
  <si>
    <t>NY</t>
  </si>
  <si>
    <t>Ohio Deaf-Blind Outreach Program</t>
  </si>
  <si>
    <t>OH</t>
  </si>
  <si>
    <t>Oklahoma Department of Rehabilitation Services</t>
  </si>
  <si>
    <t>OK</t>
  </si>
  <si>
    <t>Access Technologies, Inc.</t>
  </si>
  <si>
    <t>OR</t>
  </si>
  <si>
    <t>Institute on Disabilities - Temple University</t>
  </si>
  <si>
    <t>PR</t>
  </si>
  <si>
    <t>RI</t>
  </si>
  <si>
    <t>SC</t>
  </si>
  <si>
    <t>South Dakota Department of Human Services</t>
  </si>
  <si>
    <t>SD</t>
  </si>
  <si>
    <t>Tennessee Regulatory Authority</t>
  </si>
  <si>
    <t>UT</t>
  </si>
  <si>
    <t>Virginia Department for the Deaf and Hard of Hearing</t>
  </si>
  <si>
    <t>VI</t>
  </si>
  <si>
    <t>VT</t>
  </si>
  <si>
    <t>WA</t>
  </si>
  <si>
    <t>Public Service Commission of Wisconsin</t>
  </si>
  <si>
    <t>WI</t>
  </si>
  <si>
    <t>WV</t>
  </si>
  <si>
    <t>Wyoming Institute for Disabilities - University of Wyoming</t>
  </si>
  <si>
    <t>WY</t>
  </si>
  <si>
    <t>July</t>
  </si>
  <si>
    <t>August</t>
  </si>
  <si>
    <t>July-Sept</t>
  </si>
  <si>
    <t>September</t>
  </si>
  <si>
    <t>October</t>
  </si>
  <si>
    <t>November</t>
  </si>
  <si>
    <t>Oct-Dec</t>
  </si>
  <si>
    <t>December</t>
  </si>
  <si>
    <t>January</t>
  </si>
  <si>
    <t>February</t>
  </si>
  <si>
    <t>March</t>
  </si>
  <si>
    <t>Jan-Mar</t>
  </si>
  <si>
    <t>April</t>
  </si>
  <si>
    <t>May</t>
  </si>
  <si>
    <t>Program Name</t>
  </si>
  <si>
    <t>Budget</t>
  </si>
  <si>
    <t>Requested</t>
  </si>
  <si>
    <t>Percent of Budget Requested</t>
  </si>
  <si>
    <t>Amount of Budget Remaining</t>
  </si>
  <si>
    <t>Paid</t>
  </si>
  <si>
    <t>15% Administrative</t>
  </si>
  <si>
    <t>Pending RL</t>
  </si>
  <si>
    <t>Pending Program</t>
  </si>
  <si>
    <t>Pending FCC</t>
  </si>
  <si>
    <t>Program Costs</t>
  </si>
  <si>
    <t>Administrative Costs</t>
  </si>
  <si>
    <t>Admin</t>
  </si>
  <si>
    <t>15% of program costs</t>
  </si>
  <si>
    <t>15% - Paid Admin</t>
  </si>
  <si>
    <t>Under Review</t>
  </si>
  <si>
    <t>Admin Not Covered By Program Costs</t>
  </si>
  <si>
    <t>AL</t>
  </si>
  <si>
    <t>CO</t>
  </si>
  <si>
    <t>Georgia Council for the Hearing Impaired</t>
  </si>
  <si>
    <t>ID</t>
  </si>
  <si>
    <t>KY</t>
  </si>
  <si>
    <t>LA</t>
  </si>
  <si>
    <t>Disability Rights Maine</t>
  </si>
  <si>
    <t>MO</t>
  </si>
  <si>
    <t>MS</t>
  </si>
  <si>
    <t>ND</t>
  </si>
  <si>
    <t>NH</t>
  </si>
  <si>
    <t>NJ</t>
  </si>
  <si>
    <t>PA</t>
  </si>
  <si>
    <t>TN</t>
  </si>
  <si>
    <t>TX</t>
  </si>
  <si>
    <t>VA</t>
  </si>
  <si>
    <t xml:space="preserve"> </t>
  </si>
  <si>
    <t>State Totals</t>
  </si>
  <si>
    <t>NO</t>
  </si>
  <si>
    <t>Reallocations</t>
  </si>
  <si>
    <t>FCC</t>
  </si>
  <si>
    <t>Total</t>
  </si>
  <si>
    <t>Pending RL Review</t>
  </si>
  <si>
    <t>Internal Request Number</t>
  </si>
  <si>
    <t>Expense Period</t>
  </si>
  <si>
    <t>Date Received</t>
  </si>
  <si>
    <t>State Request Totals</t>
  </si>
  <si>
    <t>National Outreach Totals</t>
  </si>
  <si>
    <t>Fund Totals</t>
  </si>
  <si>
    <t>Monthly Filing Frequency</t>
  </si>
  <si>
    <t>Request Period</t>
  </si>
  <si>
    <t>June</t>
  </si>
  <si>
    <t>Due Date</t>
  </si>
  <si>
    <t>Received Date</t>
  </si>
  <si>
    <t>Quarterly Filing Frequency</t>
  </si>
  <si>
    <t>July-September</t>
  </si>
  <si>
    <t>October-December</t>
  </si>
  <si>
    <t>January-March</t>
  </si>
  <si>
    <t>April-June</t>
  </si>
  <si>
    <t>Virginia Department for the Blind and Vision Impaired</t>
  </si>
  <si>
    <t>Semi-Annual Filing Frequency</t>
  </si>
  <si>
    <t>July-December</t>
  </si>
  <si>
    <t>January-June</t>
  </si>
  <si>
    <t>Ohio Deaf Blind Outreach Program</t>
  </si>
  <si>
    <t>Disability Rights of Maine</t>
  </si>
  <si>
    <t>Issues To Be Corrected</t>
  </si>
  <si>
    <t>Sept</t>
  </si>
  <si>
    <t>University of Delaware - Center for Disabilities</t>
  </si>
  <si>
    <t>Alabama Institue for the Deaf and Blind</t>
  </si>
  <si>
    <t>Issues to be Corrected</t>
  </si>
  <si>
    <t xml:space="preserve">Assistive Technology for Kansas </t>
  </si>
  <si>
    <t>July-Dec</t>
  </si>
  <si>
    <t>Assistive Technology for Kansas</t>
  </si>
  <si>
    <t>Northeast Deaf and Hard of Hearing</t>
  </si>
  <si>
    <t>N/A</t>
  </si>
  <si>
    <t>Jan-March</t>
  </si>
  <si>
    <t>Jan-June</t>
  </si>
  <si>
    <t>Apr-Jun</t>
  </si>
  <si>
    <t>Requests Received As Of 08/18/2017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</si>
</sst>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ahoma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99"/>
      </left>
      <right/>
      <top style="thick">
        <color rgb="FF000099"/>
      </top>
      <bottom style="thin">
        <color indexed="64"/>
      </bottom>
      <diagonal/>
    </border>
    <border>
      <left/>
      <right/>
      <top style="thick">
        <color rgb="FF000099"/>
      </top>
      <bottom style="thin">
        <color indexed="64"/>
      </bottom>
      <diagonal/>
    </border>
    <border>
      <left/>
      <right/>
      <top style="thick">
        <color rgb="FF000099"/>
      </top>
      <bottom/>
      <diagonal/>
    </border>
    <border>
      <left/>
      <right style="thick">
        <color rgb="FF000099"/>
      </right>
      <top style="thick">
        <color rgb="FF000099"/>
      </top>
      <bottom style="thin">
        <color indexed="64"/>
      </bottom>
      <diagonal/>
    </border>
    <border>
      <left style="thick">
        <color rgb="FF000099"/>
      </left>
      <right style="thin">
        <color rgb="FF000099"/>
      </right>
      <top style="thin">
        <color indexed="64"/>
      </top>
      <bottom/>
      <diagonal/>
    </border>
    <border>
      <left style="thin">
        <color rgb="FF000099"/>
      </left>
      <right style="thin">
        <color rgb="FF000099"/>
      </right>
      <top style="thin">
        <color indexed="64"/>
      </top>
      <bottom/>
      <diagonal/>
    </border>
    <border>
      <left style="thin">
        <color rgb="FF000099"/>
      </left>
      <right style="thin">
        <color rgb="FF000099"/>
      </right>
      <top style="thin">
        <color indexed="64"/>
      </top>
      <bottom style="thin">
        <color rgb="FF000099"/>
      </bottom>
      <diagonal/>
    </border>
    <border>
      <left style="thin">
        <color rgb="FF000099"/>
      </left>
      <right/>
      <top style="thin">
        <color indexed="64"/>
      </top>
      <bottom style="thin">
        <color rgb="FF000099"/>
      </bottom>
      <diagonal/>
    </border>
    <border>
      <left/>
      <right/>
      <top style="thin">
        <color indexed="64"/>
      </top>
      <bottom style="thin">
        <color rgb="FF000099"/>
      </bottom>
      <diagonal/>
    </border>
    <border>
      <left/>
      <right style="thin">
        <color rgb="FF000099"/>
      </right>
      <top style="thin">
        <color indexed="64"/>
      </top>
      <bottom style="thin">
        <color rgb="FF000099"/>
      </bottom>
      <diagonal/>
    </border>
    <border>
      <left style="thin">
        <color rgb="FF000099"/>
      </left>
      <right style="thin">
        <color rgb="FF000099"/>
      </right>
      <top style="thin">
        <color indexed="64"/>
      </top>
      <bottom style="thin">
        <color indexed="64"/>
      </bottom>
      <diagonal/>
    </border>
    <border>
      <left style="thin">
        <color rgb="FF000099"/>
      </left>
      <right style="thick">
        <color rgb="FF000099"/>
      </right>
      <top style="thin">
        <color indexed="64"/>
      </top>
      <bottom/>
      <diagonal/>
    </border>
    <border>
      <left style="thick">
        <color rgb="FF000099"/>
      </left>
      <right style="thin">
        <color rgb="FF000099"/>
      </right>
      <top/>
      <bottom style="double">
        <color rgb="FF000099"/>
      </bottom>
      <diagonal/>
    </border>
    <border>
      <left style="thin">
        <color rgb="FF000099"/>
      </left>
      <right style="thin">
        <color rgb="FF000099"/>
      </right>
      <top/>
      <bottom style="double">
        <color rgb="FF000099"/>
      </bottom>
      <diagonal/>
    </border>
    <border>
      <left style="thin">
        <color rgb="FF000099"/>
      </left>
      <right style="thin">
        <color rgb="FF000099"/>
      </right>
      <top style="thin">
        <color indexed="64"/>
      </top>
      <bottom style="double">
        <color rgb="FF000099"/>
      </bottom>
      <diagonal/>
    </border>
    <border>
      <left style="thin">
        <color rgb="FF000099"/>
      </left>
      <right style="thick">
        <color rgb="FF000099"/>
      </right>
      <top/>
      <bottom style="double">
        <color rgb="FF000099"/>
      </bottom>
      <diagonal/>
    </border>
    <border>
      <left style="thick">
        <color rgb="FF00009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000099"/>
      </right>
      <top/>
      <bottom style="thin">
        <color indexed="64"/>
      </bottom>
      <diagonal/>
    </border>
    <border>
      <left style="thick">
        <color rgb="FF00009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99"/>
      </left>
      <right style="thin">
        <color indexed="64"/>
      </right>
      <top style="thin">
        <color indexed="64"/>
      </top>
      <bottom style="double">
        <color rgb="FF0000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000099"/>
      </right>
      <top/>
      <bottom/>
      <diagonal/>
    </border>
    <border>
      <left style="thick">
        <color rgb="FF000099"/>
      </left>
      <right/>
      <top style="double">
        <color rgb="FF000099"/>
      </top>
      <bottom style="medium">
        <color rgb="FF000099"/>
      </bottom>
      <diagonal/>
    </border>
    <border>
      <left/>
      <right style="thin">
        <color indexed="64"/>
      </right>
      <top style="double">
        <color rgb="FF000099"/>
      </top>
      <bottom style="medium">
        <color rgb="FF000099"/>
      </bottom>
      <diagonal/>
    </border>
    <border>
      <left style="thin">
        <color indexed="64"/>
      </left>
      <right style="thin">
        <color indexed="64"/>
      </right>
      <top style="double">
        <color rgb="FF000099"/>
      </top>
      <bottom style="medium">
        <color rgb="FF000099"/>
      </bottom>
      <diagonal/>
    </border>
    <border>
      <left style="thin">
        <color indexed="64"/>
      </left>
      <right style="thick">
        <color rgb="FF000099"/>
      </right>
      <top style="double">
        <color rgb="FF000099"/>
      </top>
      <bottom style="medium">
        <color rgb="FF000099"/>
      </bottom>
      <diagonal/>
    </border>
    <border>
      <left style="thick">
        <color rgb="FF000099"/>
      </left>
      <right/>
      <top/>
      <bottom style="thick">
        <color rgb="FF000099"/>
      </bottom>
      <diagonal/>
    </border>
    <border>
      <left/>
      <right/>
      <top/>
      <bottom style="thick">
        <color rgb="FF000099"/>
      </bottom>
      <diagonal/>
    </border>
    <border>
      <left/>
      <right style="thin">
        <color indexed="64"/>
      </right>
      <top/>
      <bottom style="thick">
        <color rgb="FF000099"/>
      </bottom>
      <diagonal/>
    </border>
    <border>
      <left style="thin">
        <color indexed="64"/>
      </left>
      <right style="thin">
        <color indexed="64"/>
      </right>
      <top/>
      <bottom style="thick">
        <color rgb="FF000099"/>
      </bottom>
      <diagonal/>
    </border>
    <border>
      <left style="thin">
        <color indexed="64"/>
      </left>
      <right style="thick">
        <color rgb="FF000099"/>
      </right>
      <top/>
      <bottom style="thick">
        <color rgb="FF000099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99"/>
      </left>
      <right style="thin">
        <color rgb="FF000099"/>
      </right>
      <top style="thin">
        <color rgb="FF000099"/>
      </top>
      <bottom/>
      <diagonal/>
    </border>
    <border>
      <left style="thin">
        <color rgb="FF000099"/>
      </left>
      <right style="thin">
        <color rgb="FF000099"/>
      </right>
      <top style="thin">
        <color rgb="FF000099"/>
      </top>
      <bottom style="thin">
        <color rgb="FF000099"/>
      </bottom>
      <diagonal/>
    </border>
    <border>
      <left style="thin">
        <color rgb="FF000099"/>
      </left>
      <right/>
      <top style="thin">
        <color rgb="FF000099"/>
      </top>
      <bottom style="thin">
        <color rgb="FF000099"/>
      </bottom>
      <diagonal/>
    </border>
    <border>
      <left style="thin">
        <color indexed="64"/>
      </left>
      <right style="thin">
        <color rgb="FF000099"/>
      </right>
      <top style="thin">
        <color indexed="64"/>
      </top>
      <bottom style="thin">
        <color indexed="64"/>
      </bottom>
      <diagonal/>
    </border>
    <border>
      <left style="thin">
        <color rgb="FF000099"/>
      </left>
      <right/>
      <top style="thin">
        <color rgb="FF000099"/>
      </top>
      <bottom style="double">
        <color rgb="FF000099"/>
      </bottom>
      <diagonal/>
    </border>
    <border>
      <left/>
      <right style="thin">
        <color rgb="FF000099"/>
      </right>
      <top style="thin">
        <color rgb="FF000099"/>
      </top>
      <bottom style="double">
        <color rgb="FF000099"/>
      </bottom>
      <diagonal/>
    </border>
    <border>
      <left style="thin">
        <color indexed="64"/>
      </left>
      <right style="thin">
        <color rgb="FF000099"/>
      </right>
      <top style="thin">
        <color indexed="64"/>
      </top>
      <bottom style="double">
        <color rgb="FF000099"/>
      </bottom>
      <diagonal/>
    </border>
    <border>
      <left style="thin">
        <color indexed="64"/>
      </left>
      <right/>
      <top style="double">
        <color rgb="FF000099"/>
      </top>
      <bottom style="thin">
        <color indexed="64"/>
      </bottom>
      <diagonal/>
    </border>
    <border>
      <left/>
      <right style="thin">
        <color indexed="64"/>
      </right>
      <top style="double">
        <color rgb="FF00009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99"/>
      </top>
      <bottom style="thin">
        <color rgb="FF000099"/>
      </bottom>
      <diagonal/>
    </border>
    <border>
      <left/>
      <right style="thin">
        <color rgb="FF000099"/>
      </right>
      <top style="thin">
        <color rgb="FF000099"/>
      </top>
      <bottom style="thin">
        <color rgb="FF000099"/>
      </bottom>
      <diagonal/>
    </border>
    <border>
      <left/>
      <right/>
      <top style="thin">
        <color rgb="FF000099"/>
      </top>
      <bottom style="double">
        <color rgb="FF00009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99"/>
      </left>
      <right style="thin">
        <color rgb="FF000099"/>
      </right>
      <top style="thin">
        <color rgb="FF000099"/>
      </top>
      <bottom style="double">
        <color rgb="FF000099"/>
      </bottom>
      <diagonal/>
    </border>
    <border>
      <left style="thick">
        <color rgb="FF000099"/>
      </left>
      <right style="thin">
        <color indexed="64"/>
      </right>
      <top style="double">
        <color rgb="FF000099"/>
      </top>
      <bottom/>
      <diagonal/>
    </border>
    <border>
      <left/>
      <right style="thin">
        <color indexed="64"/>
      </right>
      <top style="thin">
        <color indexed="64"/>
      </top>
      <bottom style="medium">
        <color rgb="FF000099"/>
      </bottom>
      <diagonal/>
    </border>
    <border>
      <left/>
      <right/>
      <top style="double">
        <color rgb="FF000099"/>
      </top>
      <bottom style="thin">
        <color indexed="64"/>
      </bottom>
      <diagonal/>
    </border>
    <border>
      <left style="thin">
        <color rgb="FF000099"/>
      </left>
      <right/>
      <top style="thick">
        <color rgb="FF000099"/>
      </top>
      <bottom/>
      <diagonal/>
    </border>
    <border>
      <left/>
      <right style="thin">
        <color rgb="FF000099"/>
      </right>
      <top style="thick">
        <color rgb="FF000099"/>
      </top>
      <bottom/>
      <diagonal/>
    </border>
    <border>
      <left style="thick">
        <color rgb="FF000099"/>
      </left>
      <right style="thin">
        <color indexed="64"/>
      </right>
      <top style="thick">
        <color rgb="FF000099"/>
      </top>
      <bottom/>
      <diagonal/>
    </border>
    <border>
      <left style="thin">
        <color indexed="64"/>
      </left>
      <right style="thin">
        <color indexed="64"/>
      </right>
      <top style="thick">
        <color rgb="FF000099"/>
      </top>
      <bottom/>
      <diagonal/>
    </border>
    <border>
      <left style="thin">
        <color indexed="64"/>
      </left>
      <right style="thick">
        <color rgb="FF000099"/>
      </right>
      <top style="thick">
        <color rgb="FF000099"/>
      </top>
      <bottom/>
      <diagonal/>
    </border>
    <border>
      <left style="thick">
        <color rgb="FF000099"/>
      </left>
      <right style="thin">
        <color rgb="FF000099"/>
      </right>
      <top style="thin">
        <color rgb="FF000099"/>
      </top>
      <bottom/>
      <diagonal/>
    </border>
    <border>
      <left style="thin">
        <color rgb="FF000099"/>
      </left>
      <right style="thick">
        <color rgb="FF000099"/>
      </right>
      <top style="thin">
        <color rgb="FF000099"/>
      </top>
      <bottom/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/>
    <xf numFmtId="0" fontId="6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5">
    <xf numFmtId="0" fontId="0" fillId="0" borderId="0" xfId="0"/>
    <xf numFmtId="0" fontId="0" fillId="0" borderId="0" xfId="0" applyFill="1"/>
    <xf numFmtId="164" fontId="0" fillId="0" borderId="0" xfId="0" applyNumberFormat="1" applyFill="1"/>
    <xf numFmtId="40" fontId="0" fillId="0" borderId="0" xfId="0" applyNumberFormat="1"/>
    <xf numFmtId="44" fontId="8" fillId="2" borderId="1" xfId="1" applyFont="1" applyFill="1" applyBorder="1" applyAlignment="1">
      <alignment horizontal="center" wrapText="1"/>
    </xf>
    <xf numFmtId="44" fontId="8" fillId="2" borderId="15" xfId="1" applyFont="1" applyFill="1" applyBorder="1" applyAlignment="1">
      <alignment horizontal="center"/>
    </xf>
    <xf numFmtId="44" fontId="8" fillId="2" borderId="15" xfId="1" applyFont="1" applyFill="1" applyBorder="1" applyAlignment="1">
      <alignment horizontal="center" wrapText="1"/>
    </xf>
    <xf numFmtId="0" fontId="0" fillId="0" borderId="18" xfId="0" applyFill="1" applyBorder="1"/>
    <xf numFmtId="0" fontId="0" fillId="0" borderId="19" xfId="0" applyFill="1" applyBorder="1" applyAlignment="1">
      <alignment horizontal="center"/>
    </xf>
    <xf numFmtId="44" fontId="0" fillId="0" borderId="20" xfId="1" applyFont="1" applyFill="1" applyBorder="1"/>
    <xf numFmtId="44" fontId="0" fillId="0" borderId="19" xfId="1" applyFont="1" applyFill="1" applyBorder="1"/>
    <xf numFmtId="10" fontId="0" fillId="0" borderId="19" xfId="9" applyNumberFormat="1" applyFont="1" applyFill="1" applyBorder="1"/>
    <xf numFmtId="44" fontId="1" fillId="0" borderId="21" xfId="1" applyFont="1" applyFill="1" applyBorder="1"/>
    <xf numFmtId="44" fontId="0" fillId="0" borderId="0" xfId="0" applyNumberFormat="1" applyFill="1"/>
    <xf numFmtId="0" fontId="0" fillId="0" borderId="22" xfId="0" applyFill="1" applyBorder="1"/>
    <xf numFmtId="0" fontId="0" fillId="0" borderId="1" xfId="0" applyFill="1" applyBorder="1" applyAlignment="1">
      <alignment horizontal="center"/>
    </xf>
    <xf numFmtId="0" fontId="0" fillId="0" borderId="22" xfId="0" applyBorder="1"/>
    <xf numFmtId="44" fontId="0" fillId="0" borderId="19" xfId="9" applyNumberFormat="1" applyFont="1" applyFill="1" applyBorder="1"/>
    <xf numFmtId="0" fontId="0" fillId="0" borderId="23" xfId="0" applyBorder="1"/>
    <xf numFmtId="164" fontId="9" fillId="0" borderId="24" xfId="0" applyNumberFormat="1" applyFont="1" applyBorder="1"/>
    <xf numFmtId="0" fontId="0" fillId="0" borderId="25" xfId="0" applyFill="1" applyBorder="1" applyAlignment="1">
      <alignment horizontal="center"/>
    </xf>
    <xf numFmtId="44" fontId="0" fillId="0" borderId="25" xfId="1" applyFont="1" applyFill="1" applyBorder="1"/>
    <xf numFmtId="44" fontId="0" fillId="0" borderId="26" xfId="1" applyFont="1" applyFill="1" applyBorder="1"/>
    <xf numFmtId="10" fontId="0" fillId="0" borderId="26" xfId="9" applyNumberFormat="1" applyFont="1" applyFill="1" applyBorder="1"/>
    <xf numFmtId="44" fontId="0" fillId="0" borderId="26" xfId="9" applyNumberFormat="1" applyFont="1" applyFill="1" applyBorder="1"/>
    <xf numFmtId="44" fontId="1" fillId="0" borderId="27" xfId="1" applyFont="1" applyFill="1" applyBorder="1"/>
    <xf numFmtId="0" fontId="0" fillId="3" borderId="28" xfId="0" applyFill="1" applyBorder="1" applyAlignment="1">
      <alignment horizontal="left"/>
    </xf>
    <xf numFmtId="164" fontId="0" fillId="3" borderId="1" xfId="1" applyNumberFormat="1" applyFont="1" applyFill="1" applyBorder="1"/>
    <xf numFmtId="44" fontId="0" fillId="3" borderId="29" xfId="1" applyFont="1" applyFill="1" applyBorder="1"/>
    <xf numFmtId="44" fontId="0" fillId="3" borderId="30" xfId="1" applyFont="1" applyFill="1" applyBorder="1"/>
    <xf numFmtId="10" fontId="0" fillId="3" borderId="30" xfId="9" applyNumberFormat="1" applyFont="1" applyFill="1" applyBorder="1"/>
    <xf numFmtId="44" fontId="0" fillId="3" borderId="31" xfId="1" applyFont="1" applyFill="1" applyBorder="1"/>
    <xf numFmtId="164" fontId="0" fillId="0" borderId="1" xfId="1" applyNumberFormat="1" applyFont="1" applyFill="1" applyBorder="1"/>
    <xf numFmtId="44" fontId="0" fillId="3" borderId="34" xfId="1" applyFont="1" applyFill="1" applyBorder="1"/>
    <xf numFmtId="44" fontId="0" fillId="3" borderId="35" xfId="1" applyFont="1" applyFill="1" applyBorder="1"/>
    <xf numFmtId="10" fontId="0" fillId="3" borderId="35" xfId="9" applyNumberFormat="1" applyFont="1" applyFill="1" applyBorder="1"/>
    <xf numFmtId="44" fontId="0" fillId="3" borderId="36" xfId="1" applyFont="1" applyFill="1" applyBorder="1"/>
    <xf numFmtId="0" fontId="0" fillId="4" borderId="37" xfId="0" applyFill="1" applyBorder="1"/>
    <xf numFmtId="0" fontId="0" fillId="4" borderId="0" xfId="0" applyFill="1" applyAlignment="1">
      <alignment horizontal="center"/>
    </xf>
    <xf numFmtId="164" fontId="0" fillId="4" borderId="0" xfId="1" applyNumberFormat="1" applyFont="1" applyFill="1"/>
    <xf numFmtId="44" fontId="0" fillId="4" borderId="0" xfId="1" applyFont="1" applyFill="1"/>
    <xf numFmtId="10" fontId="0" fillId="4" borderId="0" xfId="9" applyNumberFormat="1" applyFont="1" applyFill="1"/>
    <xf numFmtId="44" fontId="1" fillId="4" borderId="0" xfId="1" applyFont="1" applyFill="1"/>
    <xf numFmtId="0" fontId="0" fillId="4" borderId="0" xfId="0" applyFill="1"/>
    <xf numFmtId="164" fontId="0" fillId="0" borderId="0" xfId="1" applyNumberFormat="1" applyFont="1"/>
    <xf numFmtId="44" fontId="0" fillId="0" borderId="0" xfId="1" applyFont="1"/>
    <xf numFmtId="10" fontId="0" fillId="0" borderId="0" xfId="9" applyNumberFormat="1" applyFont="1"/>
    <xf numFmtId="44" fontId="2" fillId="0" borderId="0" xfId="1" applyFont="1" applyAlignment="1">
      <alignment horizontal="right"/>
    </xf>
    <xf numFmtId="43" fontId="2" fillId="0" borderId="38" xfId="8" applyFont="1" applyBorder="1"/>
    <xf numFmtId="44" fontId="1" fillId="0" borderId="0" xfId="1" applyFont="1"/>
    <xf numFmtId="43" fontId="2" fillId="0" borderId="0" xfId="8" applyFont="1"/>
    <xf numFmtId="164" fontId="0" fillId="0" borderId="0" xfId="9" applyNumberFormat="1" applyFont="1"/>
    <xf numFmtId="22" fontId="0" fillId="0" borderId="1" xfId="1" applyNumberFormat="1" applyFont="1" applyFill="1" applyBorder="1"/>
    <xf numFmtId="0" fontId="0" fillId="0" borderId="0" xfId="0" applyAlignment="1">
      <alignment vertical="center"/>
    </xf>
    <xf numFmtId="44" fontId="8" fillId="2" borderId="9" xfId="1" applyFont="1" applyFill="1" applyBorder="1" applyAlignment="1">
      <alignment horizontal="center" vertical="center" wrapText="1"/>
    </xf>
    <xf numFmtId="44" fontId="8" fillId="2" borderId="40" xfId="1" applyFont="1" applyFill="1" applyBorder="1" applyAlignment="1">
      <alignment horizontal="center" vertical="center" wrapText="1"/>
    </xf>
    <xf numFmtId="44" fontId="8" fillId="2" borderId="1" xfId="1" applyFont="1" applyFill="1" applyBorder="1" applyAlignment="1">
      <alignment horizontal="center" vertical="center" wrapText="1"/>
    </xf>
    <xf numFmtId="44" fontId="8" fillId="2" borderId="42" xfId="1" applyFont="1" applyFill="1" applyBorder="1" applyAlignment="1">
      <alignment horizontal="center" vertical="center" wrapText="1"/>
    </xf>
    <xf numFmtId="14" fontId="8" fillId="2" borderId="45" xfId="1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4" fontId="8" fillId="2" borderId="54" xfId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55" xfId="0" applyBorder="1"/>
    <xf numFmtId="164" fontId="3" fillId="0" borderId="19" xfId="9" applyNumberFormat="1" applyFont="1" applyFill="1" applyBorder="1"/>
    <xf numFmtId="0" fontId="3" fillId="5" borderId="22" xfId="0" applyFont="1" applyFill="1" applyBorder="1"/>
    <xf numFmtId="0" fontId="3" fillId="5" borderId="1" xfId="0" applyFont="1" applyFill="1" applyBorder="1" applyAlignment="1">
      <alignment horizontal="center"/>
    </xf>
    <xf numFmtId="44" fontId="3" fillId="5" borderId="20" xfId="1" applyFont="1" applyFill="1" applyBorder="1"/>
    <xf numFmtId="44" fontId="3" fillId="5" borderId="19" xfId="1" applyFont="1" applyFill="1" applyBorder="1"/>
    <xf numFmtId="10" fontId="3" fillId="5" borderId="19" xfId="9" applyNumberFormat="1" applyFont="1" applyFill="1" applyBorder="1"/>
    <xf numFmtId="164" fontId="3" fillId="5" borderId="19" xfId="9" applyNumberFormat="1" applyFont="1" applyFill="1" applyBorder="1"/>
    <xf numFmtId="44" fontId="3" fillId="5" borderId="21" xfId="1" applyFont="1" applyFill="1" applyBorder="1"/>
    <xf numFmtId="44" fontId="3" fillId="5" borderId="0" xfId="0" applyNumberFormat="1" applyFont="1" applyFill="1"/>
    <xf numFmtId="0" fontId="3" fillId="5" borderId="0" xfId="0" applyFont="1" applyFill="1"/>
    <xf numFmtId="14" fontId="0" fillId="6" borderId="1" xfId="0" applyNumberFormat="1" applyFill="1" applyBorder="1" applyAlignment="1">
      <alignment horizontal="center" vertical="center"/>
    </xf>
    <xf numFmtId="14" fontId="3" fillId="6" borderId="1" xfId="0" applyNumberFormat="1" applyFont="1" applyFill="1" applyBorder="1" applyAlignment="1">
      <alignment horizontal="center" vertical="center"/>
    </xf>
    <xf numFmtId="0" fontId="0" fillId="3" borderId="56" xfId="0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 vertical="center"/>
    </xf>
    <xf numFmtId="44" fontId="8" fillId="2" borderId="12" xfId="1" applyFont="1" applyFill="1" applyBorder="1" applyAlignment="1">
      <alignment horizontal="center" wrapText="1"/>
    </xf>
    <xf numFmtId="44" fontId="8" fillId="2" borderId="16" xfId="1" applyFont="1" applyFill="1" applyBorder="1" applyAlignment="1">
      <alignment horizontal="center" wrapText="1"/>
    </xf>
    <xf numFmtId="44" fontId="8" fillId="2" borderId="13" xfId="1" applyFont="1" applyFill="1" applyBorder="1" applyAlignment="1">
      <alignment horizontal="center"/>
    </xf>
    <xf numFmtId="44" fontId="8" fillId="2" borderId="17" xfId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164" fontId="8" fillId="2" borderId="7" xfId="1" applyNumberFormat="1" applyFont="1" applyFill="1" applyBorder="1" applyAlignment="1">
      <alignment horizontal="center"/>
    </xf>
    <xf numFmtId="164" fontId="8" fillId="2" borderId="15" xfId="1" applyNumberFormat="1" applyFont="1" applyFill="1" applyBorder="1" applyAlignment="1">
      <alignment horizontal="center"/>
    </xf>
    <xf numFmtId="44" fontId="8" fillId="2" borderId="8" xfId="1" applyFont="1" applyFill="1" applyBorder="1" applyAlignment="1">
      <alignment horizontal="center"/>
    </xf>
    <xf numFmtId="10" fontId="8" fillId="2" borderId="7" xfId="9" applyNumberFormat="1" applyFont="1" applyFill="1" applyBorder="1" applyAlignment="1">
      <alignment horizontal="center" wrapText="1"/>
    </xf>
    <xf numFmtId="10" fontId="8" fillId="2" borderId="15" xfId="9" applyNumberFormat="1" applyFont="1" applyFill="1" applyBorder="1" applyAlignment="1">
      <alignment horizontal="center" wrapText="1"/>
    </xf>
    <xf numFmtId="44" fontId="8" fillId="2" borderId="9" xfId="1" applyFont="1" applyFill="1" applyBorder="1" applyAlignment="1">
      <alignment horizontal="center" wrapText="1"/>
    </xf>
    <xf numFmtId="44" fontId="8" fillId="2" borderId="10" xfId="1" applyFont="1" applyFill="1" applyBorder="1" applyAlignment="1">
      <alignment horizontal="center" wrapText="1"/>
    </xf>
    <xf numFmtId="44" fontId="8" fillId="2" borderId="11" xfId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44" fontId="8" fillId="2" borderId="8" xfId="1" applyFont="1" applyFill="1" applyBorder="1" applyAlignment="1">
      <alignment horizontal="center" wrapText="1"/>
    </xf>
    <xf numFmtId="0" fontId="0" fillId="3" borderId="32" xfId="0" applyFill="1" applyBorder="1" applyAlignment="1">
      <alignment horizontal="left"/>
    </xf>
    <xf numFmtId="0" fontId="0" fillId="3" borderId="33" xfId="0" applyFill="1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44" fontId="8" fillId="2" borderId="8" xfId="1" applyFont="1" applyFill="1" applyBorder="1" applyAlignment="1">
      <alignment horizontal="center" vertical="center"/>
    </xf>
    <xf numFmtId="44" fontId="8" fillId="2" borderId="43" xfId="1" applyFont="1" applyFill="1" applyBorder="1" applyAlignment="1">
      <alignment horizontal="center" vertical="center"/>
    </xf>
    <xf numFmtId="44" fontId="8" fillId="2" borderId="44" xfId="1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4" fontId="8" fillId="2" borderId="43" xfId="1" applyNumberFormat="1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44" fontId="8" fillId="2" borderId="40" xfId="1" applyFont="1" applyFill="1" applyBorder="1" applyAlignment="1">
      <alignment horizontal="center" vertical="center"/>
    </xf>
    <xf numFmtId="14" fontId="0" fillId="5" borderId="48" xfId="0" applyNumberFormat="1" applyFill="1" applyBorder="1" applyAlignment="1">
      <alignment horizontal="center" vertical="center"/>
    </xf>
    <xf numFmtId="14" fontId="0" fillId="5" borderId="53" xfId="0" applyNumberFormat="1" applyFill="1" applyBorder="1" applyAlignment="1">
      <alignment horizontal="center" vertical="center"/>
    </xf>
    <xf numFmtId="14" fontId="0" fillId="5" borderId="49" xfId="0" applyNumberFormat="1" applyFill="1" applyBorder="1" applyAlignment="1">
      <alignment horizontal="center" vertical="center"/>
    </xf>
    <xf numFmtId="14" fontId="0" fillId="0" borderId="48" xfId="0" applyNumberFormat="1" applyFill="1" applyBorder="1" applyAlignment="1">
      <alignment horizontal="center" vertical="center"/>
    </xf>
    <xf numFmtId="14" fontId="0" fillId="0" borderId="53" xfId="0" applyNumberFormat="1" applyFill="1" applyBorder="1" applyAlignment="1">
      <alignment horizontal="center" vertical="center"/>
    </xf>
    <xf numFmtId="14" fontId="0" fillId="0" borderId="49" xfId="0" applyNumberFormat="1" applyFill="1" applyBorder="1" applyAlignment="1">
      <alignment horizontal="center" vertical="center"/>
    </xf>
    <xf numFmtId="14" fontId="0" fillId="6" borderId="48" xfId="0" applyNumberFormat="1" applyFill="1" applyBorder="1" applyAlignment="1">
      <alignment horizontal="center" vertical="center"/>
    </xf>
    <xf numFmtId="14" fontId="0" fillId="6" borderId="53" xfId="0" applyNumberFormat="1" applyFill="1" applyBorder="1" applyAlignment="1">
      <alignment horizontal="center" vertical="center"/>
    </xf>
    <xf numFmtId="14" fontId="0" fillId="6" borderId="49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1" xfId="1" applyNumberFormat="1" applyFont="1" applyFill="1" applyBorder="1"/>
    <xf numFmtId="22" fontId="0" fillId="0" borderId="1" xfId="1" applyNumberFormat="1" applyFont="1" applyFill="1" applyBorder="1" applyAlignment="1">
      <alignment horizontal="center"/>
    </xf>
    <xf numFmtId="14" fontId="0" fillId="0" borderId="0" xfId="0" applyNumberFormat="1" applyFill="1" applyBorder="1" applyAlignment="1">
      <alignment vertical="center"/>
    </xf>
    <xf numFmtId="0" fontId="0" fillId="2" borderId="15" xfId="0" applyFill="1" applyBorder="1" applyAlignment="1">
      <alignment horizontal="center" wrapText="1"/>
    </xf>
    <xf numFmtId="44" fontId="8" fillId="2" borderId="15" xfId="1" applyFont="1" applyFill="1" applyBorder="1" applyAlignment="1">
      <alignment horizontal="center"/>
    </xf>
    <xf numFmtId="44" fontId="8" fillId="2" borderId="15" xfId="1" applyFont="1" applyFill="1" applyBorder="1" applyAlignment="1">
      <alignment horizontal="center" wrapText="1"/>
    </xf>
    <xf numFmtId="0" fontId="8" fillId="2" borderId="63" xfId="0" applyNumberFormat="1" applyFont="1" applyFill="1" applyBorder="1" applyAlignment="1">
      <alignment wrapText="1"/>
    </xf>
    <xf numFmtId="0" fontId="8" fillId="2" borderId="39" xfId="0" applyFont="1" applyFill="1" applyBorder="1" applyAlignment="1"/>
    <xf numFmtId="0" fontId="8" fillId="2" borderId="39" xfId="0" applyNumberFormat="1" applyFont="1" applyFill="1" applyBorder="1" applyAlignment="1"/>
    <xf numFmtId="44" fontId="8" fillId="2" borderId="39" xfId="1" applyFont="1" applyFill="1" applyBorder="1" applyAlignment="1"/>
    <xf numFmtId="14" fontId="8" fillId="2" borderId="39" xfId="1" applyNumberFormat="1" applyFont="1" applyFill="1" applyBorder="1" applyAlignment="1"/>
    <xf numFmtId="44" fontId="8" fillId="2" borderId="41" xfId="1" applyFont="1" applyFill="1" applyBorder="1" applyAlignment="1">
      <alignment horizontal="center" wrapText="1"/>
    </xf>
    <xf numFmtId="44" fontId="8" fillId="2" borderId="39" xfId="1" applyNumberFormat="1" applyFont="1" applyFill="1" applyBorder="1" applyAlignment="1">
      <alignment wrapText="1"/>
    </xf>
    <xf numFmtId="44" fontId="8" fillId="2" borderId="64" xfId="1" applyFont="1" applyFill="1" applyBorder="1" applyAlignment="1"/>
    <xf numFmtId="0" fontId="8" fillId="2" borderId="14" xfId="0" applyNumberFormat="1" applyFont="1" applyFill="1" applyBorder="1" applyAlignment="1">
      <alignment wrapText="1"/>
    </xf>
    <xf numFmtId="0" fontId="8" fillId="2" borderId="15" xfId="0" applyFont="1" applyFill="1" applyBorder="1" applyAlignment="1"/>
    <xf numFmtId="0" fontId="8" fillId="2" borderId="15" xfId="0" applyNumberFormat="1" applyFont="1" applyFill="1" applyBorder="1" applyAlignment="1"/>
    <xf numFmtId="44" fontId="8" fillId="2" borderId="15" xfId="1" applyFont="1" applyFill="1" applyBorder="1" applyAlignment="1"/>
    <xf numFmtId="14" fontId="8" fillId="2" borderId="15" xfId="1" applyNumberFormat="1" applyFont="1" applyFill="1" applyBorder="1" applyAlignment="1"/>
    <xf numFmtId="44" fontId="8" fillId="2" borderId="15" xfId="1" applyNumberFormat="1" applyFont="1" applyFill="1" applyBorder="1" applyAlignment="1">
      <alignment horizontal="center" wrapText="1"/>
    </xf>
    <xf numFmtId="44" fontId="8" fillId="2" borderId="15" xfId="1" applyNumberFormat="1" applyFont="1" applyFill="1" applyBorder="1" applyAlignment="1">
      <alignment wrapText="1"/>
    </xf>
    <xf numFmtId="44" fontId="8" fillId="2" borderId="17" xfId="1" applyFont="1" applyFill="1" applyBorder="1" applyAlignment="1"/>
    <xf numFmtId="14" fontId="0" fillId="0" borderId="48" xfId="0" applyNumberFormat="1" applyFill="1" applyBorder="1" applyAlignment="1">
      <alignment horizontal="center" vertical="center"/>
    </xf>
    <xf numFmtId="14" fontId="0" fillId="0" borderId="53" xfId="0" applyNumberFormat="1" applyFill="1" applyBorder="1" applyAlignment="1">
      <alignment horizontal="center" vertical="center"/>
    </xf>
    <xf numFmtId="14" fontId="0" fillId="0" borderId="49" xfId="0" applyNumberFormat="1" applyFill="1" applyBorder="1" applyAlignment="1">
      <alignment horizontal="center" vertical="center"/>
    </xf>
    <xf numFmtId="14" fontId="0" fillId="0" borderId="53" xfId="0" applyNumberFormat="1" applyFill="1" applyBorder="1" applyAlignment="1">
      <alignment horizontal="center" vertical="center"/>
    </xf>
    <xf numFmtId="14" fontId="0" fillId="0" borderId="53" xfId="0" applyNumberFormat="1" applyFill="1" applyBorder="1" applyAlignment="1">
      <alignment horizontal="center" vertical="center"/>
    </xf>
    <xf numFmtId="0" fontId="7" fillId="2" borderId="2" xfId="0" quotePrefix="1" applyFont="1" applyFill="1" applyBorder="1" applyAlignment="1">
      <alignment horizontal="center"/>
    </xf>
    <xf numFmtId="0" fontId="7" fillId="2" borderId="3" xfId="0" quotePrefix="1" applyFont="1" applyFill="1" applyBorder="1" applyAlignment="1">
      <alignment horizontal="center"/>
    </xf>
    <xf numFmtId="0" fontId="7" fillId="2" borderId="5" xfId="0" quotePrefix="1" applyFont="1" applyFill="1" applyBorder="1" applyAlignment="1">
      <alignment horizontal="center"/>
    </xf>
    <xf numFmtId="0" fontId="7" fillId="2" borderId="60" xfId="0" quotePrefix="1" applyFont="1" applyFill="1" applyBorder="1" applyAlignment="1">
      <alignment horizontal="center"/>
    </xf>
    <xf numFmtId="0" fontId="7" fillId="2" borderId="61" xfId="0" applyFont="1" applyFill="1" applyBorder="1" applyAlignment="1">
      <alignment horizontal="center"/>
    </xf>
    <xf numFmtId="44" fontId="7" fillId="2" borderId="61" xfId="0" applyNumberFormat="1" applyFont="1" applyFill="1" applyBorder="1" applyAlignment="1">
      <alignment horizontal="center"/>
    </xf>
    <xf numFmtId="0" fontId="7" fillId="2" borderId="62" xfId="0" applyFont="1" applyFill="1" applyBorder="1" applyAlignment="1">
      <alignment horizontal="center"/>
    </xf>
    <xf numFmtId="44" fontId="8" fillId="2" borderId="40" xfId="1" applyFont="1" applyFill="1" applyBorder="1" applyAlignment="1">
      <alignment horizontal="center"/>
    </xf>
    <xf numFmtId="44" fontId="8" fillId="2" borderId="40" xfId="1" applyFont="1" applyFill="1" applyBorder="1" applyAlignment="1">
      <alignment horizontal="center" wrapText="1"/>
    </xf>
    <xf numFmtId="44" fontId="8" fillId="2" borderId="40" xfId="1" applyNumberFormat="1" applyFont="1" applyFill="1" applyBorder="1" applyAlignment="1">
      <alignment horizontal="center" wrapText="1"/>
    </xf>
    <xf numFmtId="14" fontId="0" fillId="5" borderId="48" xfId="0" applyNumberFormat="1" applyFill="1" applyBorder="1" applyAlignment="1">
      <alignment horizontal="center" vertical="center"/>
    </xf>
    <xf numFmtId="14" fontId="0" fillId="5" borderId="53" xfId="0" applyNumberFormat="1" applyFill="1" applyBorder="1" applyAlignment="1">
      <alignment horizontal="center" vertical="center"/>
    </xf>
    <xf numFmtId="14" fontId="0" fillId="5" borderId="49" xfId="0" applyNumberFormat="1" applyFill="1" applyBorder="1" applyAlignment="1">
      <alignment horizontal="center" vertical="center"/>
    </xf>
    <xf numFmtId="14" fontId="0" fillId="0" borderId="48" xfId="0" applyNumberFormat="1" applyFill="1" applyBorder="1" applyAlignment="1">
      <alignment horizontal="center" vertical="center"/>
    </xf>
    <xf numFmtId="14" fontId="0" fillId="0" borderId="53" xfId="0" applyNumberFormat="1" applyFill="1" applyBorder="1" applyAlignment="1">
      <alignment horizontal="center" vertical="center"/>
    </xf>
    <xf numFmtId="14" fontId="0" fillId="0" borderId="49" xfId="0" applyNumberFormat="1" applyFill="1" applyBorder="1" applyAlignment="1">
      <alignment horizontal="center" vertical="center"/>
    </xf>
    <xf numFmtId="0" fontId="7" fillId="2" borderId="58" xfId="0" quotePrefix="1" applyFont="1" applyFill="1" applyBorder="1" applyAlignment="1">
      <alignment horizontal="center" vertical="center"/>
    </xf>
    <xf numFmtId="0" fontId="7" fillId="2" borderId="4" xfId="0" quotePrefix="1" applyFont="1" applyFill="1" applyBorder="1" applyAlignment="1">
      <alignment horizontal="center" vertical="center"/>
    </xf>
    <xf numFmtId="0" fontId="7" fillId="2" borderId="59" xfId="0" quotePrefix="1" applyFont="1" applyFill="1" applyBorder="1" applyAlignment="1">
      <alignment horizontal="center" vertical="center"/>
    </xf>
    <xf numFmtId="14" fontId="3" fillId="5" borderId="48" xfId="0" applyNumberFormat="1" applyFont="1" applyFill="1" applyBorder="1" applyAlignment="1">
      <alignment horizontal="center" vertical="center"/>
    </xf>
    <xf numFmtId="14" fontId="3" fillId="5" borderId="53" xfId="0" applyNumberFormat="1" applyFont="1" applyFill="1" applyBorder="1" applyAlignment="1">
      <alignment horizontal="center" vertical="center"/>
    </xf>
    <xf numFmtId="14" fontId="3" fillId="5" borderId="49" xfId="0" applyNumberFormat="1" applyFont="1" applyFill="1" applyBorder="1" applyAlignment="1">
      <alignment horizontal="center" vertical="center"/>
    </xf>
    <xf numFmtId="14" fontId="8" fillId="2" borderId="43" xfId="1" applyNumberFormat="1" applyFont="1" applyFill="1" applyBorder="1" applyAlignment="1">
      <alignment horizontal="center" vertical="center"/>
    </xf>
    <xf numFmtId="14" fontId="8" fillId="2" borderId="52" xfId="1" applyNumberFormat="1" applyFont="1" applyFill="1" applyBorder="1" applyAlignment="1">
      <alignment horizontal="center" vertical="center"/>
    </xf>
    <xf numFmtId="14" fontId="8" fillId="2" borderId="44" xfId="1" applyNumberFormat="1" applyFont="1" applyFill="1" applyBorder="1" applyAlignment="1">
      <alignment horizontal="center" vertical="center"/>
    </xf>
    <xf numFmtId="14" fontId="0" fillId="5" borderId="46" xfId="0" applyNumberFormat="1" applyFill="1" applyBorder="1" applyAlignment="1">
      <alignment horizontal="center" vertical="center"/>
    </xf>
    <xf numFmtId="14" fontId="0" fillId="5" borderId="57" xfId="0" applyNumberFormat="1" applyFill="1" applyBorder="1" applyAlignment="1">
      <alignment horizontal="center" vertical="center"/>
    </xf>
    <xf numFmtId="14" fontId="0" fillId="5" borderId="47" xfId="0" applyNumberFormat="1" applyFill="1" applyBorder="1" applyAlignment="1">
      <alignment horizontal="center" vertical="center"/>
    </xf>
    <xf numFmtId="14" fontId="0" fillId="6" borderId="48" xfId="0" applyNumberFormat="1" applyFill="1" applyBorder="1" applyAlignment="1">
      <alignment horizontal="center" vertical="center"/>
    </xf>
    <xf numFmtId="14" fontId="0" fillId="6" borderId="53" xfId="0" applyNumberFormat="1" applyFill="1" applyBorder="1" applyAlignment="1">
      <alignment horizontal="center" vertical="center"/>
    </xf>
    <xf numFmtId="14" fontId="0" fillId="6" borderId="49" xfId="0" applyNumberFormat="1" applyFill="1" applyBorder="1" applyAlignment="1">
      <alignment horizontal="center" vertical="center"/>
    </xf>
    <xf numFmtId="44" fontId="8" fillId="2" borderId="41" xfId="1" applyFont="1" applyFill="1" applyBorder="1" applyAlignment="1">
      <alignment horizontal="center" vertical="center"/>
    </xf>
    <xf numFmtId="44" fontId="8" fillId="2" borderId="50" xfId="1" applyFont="1" applyFill="1" applyBorder="1" applyAlignment="1">
      <alignment horizontal="center" vertical="center"/>
    </xf>
    <xf numFmtId="44" fontId="8" fillId="2" borderId="51" xfId="1" applyFont="1" applyFill="1" applyBorder="1" applyAlignment="1">
      <alignment horizontal="center" vertical="center"/>
    </xf>
    <xf numFmtId="14" fontId="3" fillId="5" borderId="46" xfId="0" applyNumberFormat="1" applyFont="1" applyFill="1" applyBorder="1" applyAlignment="1">
      <alignment horizontal="center" vertical="center"/>
    </xf>
    <xf numFmtId="14" fontId="3" fillId="5" borderId="57" xfId="0" applyNumberFormat="1" applyFont="1" applyFill="1" applyBorder="1" applyAlignment="1">
      <alignment horizontal="center" vertical="center"/>
    </xf>
    <xf numFmtId="14" fontId="3" fillId="5" borderId="47" xfId="0" applyNumberFormat="1" applyFont="1" applyFill="1" applyBorder="1" applyAlignment="1">
      <alignment horizontal="center" vertical="center"/>
    </xf>
    <xf numFmtId="0" fontId="0" fillId="5" borderId="53" xfId="0" applyFill="1" applyBorder="1" applyAlignment="1">
      <alignment horizontal="center" vertical="center"/>
    </xf>
    <xf numFmtId="0" fontId="0" fillId="5" borderId="49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44" fontId="8" fillId="2" borderId="9" xfId="1" applyFont="1" applyFill="1" applyBorder="1" applyAlignment="1">
      <alignment horizontal="center" vertical="center"/>
    </xf>
    <xf numFmtId="44" fontId="8" fillId="2" borderId="10" xfId="1" applyFont="1" applyFill="1" applyBorder="1" applyAlignment="1">
      <alignment horizontal="center" vertical="center"/>
    </xf>
    <xf numFmtId="44" fontId="8" fillId="2" borderId="11" xfId="1" applyFont="1" applyFill="1" applyBorder="1" applyAlignment="1">
      <alignment horizontal="center" vertical="center"/>
    </xf>
    <xf numFmtId="14" fontId="3" fillId="0" borderId="48" xfId="0" applyNumberFormat="1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14" fontId="0" fillId="0" borderId="48" xfId="0" applyNumberFormat="1" applyFont="1" applyFill="1" applyBorder="1" applyAlignment="1">
      <alignment horizontal="center" vertical="center"/>
    </xf>
    <xf numFmtId="14" fontId="0" fillId="0" borderId="53" xfId="0" applyNumberFormat="1" applyFont="1" applyFill="1" applyBorder="1" applyAlignment="1">
      <alignment horizontal="center" vertical="center"/>
    </xf>
    <xf numFmtId="14" fontId="0" fillId="0" borderId="49" xfId="0" applyNumberFormat="1" applyFont="1" applyFill="1" applyBorder="1" applyAlignment="1">
      <alignment horizontal="center" vertical="center"/>
    </xf>
  </cellXfs>
  <cellStyles count="10">
    <cellStyle name="Comma" xfId="8" builtinId="3"/>
    <cellStyle name="Currency" xfId="1" builtinId="4"/>
    <cellStyle name="Currency 2" xfId="2"/>
    <cellStyle name="Hyperlink" xfId="3"/>
    <cellStyle name="Normal" xfId="0" builtinId="0"/>
    <cellStyle name="Normal 2" xfId="4"/>
    <cellStyle name="Normal 2 2" xfId="5"/>
    <cellStyle name="Normal 3" xfId="6"/>
    <cellStyle name="Normal 4" xfId="7"/>
    <cellStyle name="Percent" xfId="9" builtinId="5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5"/>
  <sheetViews>
    <sheetView tabSelected="1" zoomScaleNormal="100" workbookViewId="0">
      <selection activeCell="O18" sqref="O18"/>
    </sheetView>
  </sheetViews>
  <sheetFormatPr defaultRowHeight="15" x14ac:dyDescent="0.25"/>
  <cols>
    <col min="1" max="1" width="77.42578125" bestFit="1" customWidth="1"/>
    <col min="2" max="2" width="5.5703125" style="127" customWidth="1"/>
    <col min="3" max="3" width="20" style="44" customWidth="1"/>
    <col min="4" max="4" width="15.140625" style="45" customWidth="1"/>
    <col min="5" max="5" width="14.42578125" style="45" customWidth="1"/>
    <col min="6" max="6" width="13.5703125" style="46" customWidth="1"/>
    <col min="7" max="7" width="14.7109375" style="46" customWidth="1"/>
    <col min="8" max="8" width="18.7109375" style="45" customWidth="1"/>
    <col min="9" max="10" width="14.28515625" style="45" customWidth="1"/>
    <col min="11" max="12" width="14.28515625" style="45" hidden="1" customWidth="1"/>
    <col min="13" max="13" width="14.28515625" style="45" customWidth="1"/>
    <col min="14" max="15" width="14.5703125" style="45" customWidth="1"/>
    <col min="16" max="16" width="14.28515625" style="45" customWidth="1"/>
    <col min="17" max="17" width="12.5703125" style="49" bestFit="1" customWidth="1"/>
    <col min="18" max="18" width="13.42578125" customWidth="1"/>
    <col min="19" max="19" width="14.28515625" bestFit="1" customWidth="1"/>
  </cols>
  <sheetData>
    <row r="1" spans="1:19" ht="29.25" customHeight="1" thickTop="1" x14ac:dyDescent="0.25">
      <c r="A1" s="155" t="str">
        <f>Detail!A1</f>
        <v>Requests Received As Of 08/18/2017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7"/>
    </row>
    <row r="2" spans="1:19" ht="15" customHeight="1" x14ac:dyDescent="0.25">
      <c r="A2" s="90" t="s">
        <v>84</v>
      </c>
      <c r="B2" s="92" t="s">
        <v>0</v>
      </c>
      <c r="C2" s="94" t="s">
        <v>85</v>
      </c>
      <c r="D2" s="96" t="s">
        <v>86</v>
      </c>
      <c r="E2" s="96"/>
      <c r="F2" s="97" t="s">
        <v>87</v>
      </c>
      <c r="G2" s="97" t="s">
        <v>88</v>
      </c>
      <c r="H2" s="99" t="s">
        <v>89</v>
      </c>
      <c r="I2" s="100"/>
      <c r="J2" s="101"/>
      <c r="K2" s="99" t="s">
        <v>90</v>
      </c>
      <c r="L2" s="102"/>
      <c r="M2" s="4" t="s">
        <v>91</v>
      </c>
      <c r="N2" s="101" t="s">
        <v>92</v>
      </c>
      <c r="O2" s="103"/>
      <c r="P2" s="86" t="s">
        <v>93</v>
      </c>
      <c r="Q2" s="88" t="s">
        <v>1</v>
      </c>
    </row>
    <row r="3" spans="1:19" ht="29.25" customHeight="1" thickBot="1" x14ac:dyDescent="0.3">
      <c r="A3" s="91"/>
      <c r="B3" s="93"/>
      <c r="C3" s="95"/>
      <c r="D3" s="5" t="s">
        <v>94</v>
      </c>
      <c r="E3" s="6" t="s">
        <v>95</v>
      </c>
      <c r="F3" s="98"/>
      <c r="G3" s="131"/>
      <c r="H3" s="6" t="s">
        <v>94</v>
      </c>
      <c r="I3" s="6" t="s">
        <v>96</v>
      </c>
      <c r="J3" s="6" t="s">
        <v>2</v>
      </c>
      <c r="K3" s="6" t="s">
        <v>97</v>
      </c>
      <c r="L3" s="6" t="s">
        <v>98</v>
      </c>
      <c r="M3" s="6" t="s">
        <v>99</v>
      </c>
      <c r="N3" s="6" t="s">
        <v>100</v>
      </c>
      <c r="O3" s="6" t="s">
        <v>150</v>
      </c>
      <c r="P3" s="87"/>
      <c r="Q3" s="89"/>
    </row>
    <row r="4" spans="1:19" s="1" customFormat="1" ht="15.75" thickTop="1" x14ac:dyDescent="0.25">
      <c r="A4" s="7" t="s">
        <v>3</v>
      </c>
      <c r="B4" s="8" t="s">
        <v>4</v>
      </c>
      <c r="C4" s="9">
        <f>65564+30000</f>
        <v>95564</v>
      </c>
      <c r="D4" s="9">
        <f>SUMIF(Detail!$C$5:$C$476,Summary!$B4,Detail!$F$5:$F$476)</f>
        <v>83515.78</v>
      </c>
      <c r="E4" s="10">
        <f>SUMIF(Detail!$C$5:$C$476,Summary!$B4,Detail!$G$5:$G$476)</f>
        <v>12173.090000000002</v>
      </c>
      <c r="F4" s="11">
        <f>(SUM($D4:$E4)/$C4)</f>
        <v>1.0013066635971704</v>
      </c>
      <c r="G4" s="72">
        <f>SUM(C4-J4)</f>
        <v>4177.1154999999999</v>
      </c>
      <c r="H4" s="10">
        <f>SUMIF(Detail!$C$5:$C$476,Summary!$B4,Detail!$H$5:$H$476)</f>
        <v>80051.69</v>
      </c>
      <c r="I4" s="10">
        <f>SUMIF(Detail!$C$5:$C$505,Summary!$B4,Detail!$I$5:$I$505)</f>
        <v>11335.1945</v>
      </c>
      <c r="J4" s="10">
        <f>SUM(H4+I4)</f>
        <v>91386.8845</v>
      </c>
      <c r="K4" s="10">
        <f>SUM(H4*0.15)</f>
        <v>12007.753500000001</v>
      </c>
      <c r="L4" s="10">
        <f>SUM(K4-I4)</f>
        <v>672.55900000000111</v>
      </c>
      <c r="M4" s="10">
        <f>SUMIF(Detail!$C$5:$C$505,Summary!$B4,Detail!$J$5:$J$505)</f>
        <v>4301.9800000000005</v>
      </c>
      <c r="N4" s="10">
        <f>SUMIF(Detail!$C$5:$C$505,Summary!$B4,Detail!$K$5:$K$505)</f>
        <v>5.5000000000404725E-3</v>
      </c>
      <c r="O4" s="10">
        <f>SUMIF(Detail!$C$5:$C$505,Summary!$B4,Detail!$L$5:$L$505)</f>
        <v>0</v>
      </c>
      <c r="P4" s="10">
        <f>SUMIF(Detail!$C$5:$C$298, Summary!$B4, Detail!$M$5:$M$298)</f>
        <v>0</v>
      </c>
      <c r="Q4" s="12">
        <f>SUMIF(Detail!$C$5:$C$298, Summary!$B4, Detail!$N$5:$N$298)</f>
        <v>0</v>
      </c>
      <c r="R4" s="13">
        <f>(D4+E4)-H4-I4-M4-N4-O4-P4-Q4</f>
        <v>-7.1054273576010019E-12</v>
      </c>
      <c r="S4" s="13"/>
    </row>
    <row r="5" spans="1:19" s="1" customFormat="1" x14ac:dyDescent="0.25">
      <c r="A5" s="14" t="s">
        <v>5</v>
      </c>
      <c r="B5" s="15" t="s">
        <v>101</v>
      </c>
      <c r="C5" s="9">
        <f>152413+2500</f>
        <v>154913</v>
      </c>
      <c r="D5" s="9">
        <f>SUMIF(Detail!$C$5:$C$476,Summary!$B5,Detail!$F$5:$F$476)</f>
        <v>79112.390000000014</v>
      </c>
      <c r="E5" s="10">
        <f>SUMIF(Detail!$C$5:$C$476,Summary!$B5,Detail!$G$5:$G$476)</f>
        <v>0</v>
      </c>
      <c r="F5" s="11">
        <f t="shared" ref="F5:F56" si="0">(SUM($D5:$E5)/$C5)</f>
        <v>0.51068916101295569</v>
      </c>
      <c r="G5" s="72">
        <f t="shared" ref="G5:G56" si="1">SUM(C5-J5)</f>
        <v>75800.609999999986</v>
      </c>
      <c r="H5" s="10">
        <f>SUMIF(Detail!$C$5:$C$476,Summary!$B5,Detail!$H$5:$H$476)</f>
        <v>79112.390000000014</v>
      </c>
      <c r="I5" s="10">
        <f>SUMIF(Detail!$C$5:$C$505,Summary!$B5,Detail!$I$5:$I$505)</f>
        <v>0</v>
      </c>
      <c r="J5" s="10">
        <f t="shared" ref="J5:J56" si="2">SUM(H5+I5)</f>
        <v>79112.390000000014</v>
      </c>
      <c r="K5" s="10"/>
      <c r="L5" s="10"/>
      <c r="M5" s="10">
        <f>SUMIF(Detail!$C$5:$C$505,Summary!$B5,Detail!$J$5:$J$505)</f>
        <v>0</v>
      </c>
      <c r="N5" s="10">
        <f>SUMIF(Detail!$C$5:$C$505,Summary!$B5,Detail!$K$5:$K$505)</f>
        <v>0</v>
      </c>
      <c r="O5" s="10">
        <f>SUMIF(Detail!$C$5:$C$505,Summary!$B5,Detail!$L$5:$L$505)</f>
        <v>0</v>
      </c>
      <c r="P5" s="10">
        <f>SUMIF(Detail!$C$5:$C$298, Summary!$B5, Detail!$M$5:$M$298)</f>
        <v>0</v>
      </c>
      <c r="Q5" s="12">
        <f>SUMIF(Detail!$C$5:$C$298, Summary!$B5, Detail!$N$5:$N$298)</f>
        <v>0</v>
      </c>
      <c r="R5" s="13">
        <f>(D5+E5)-H5-I5-M5-N5-O5-P5-Q5</f>
        <v>0</v>
      </c>
      <c r="S5" s="13"/>
    </row>
    <row r="6" spans="1:19" x14ac:dyDescent="0.25">
      <c r="A6" s="14" t="s">
        <v>6</v>
      </c>
      <c r="B6" s="15" t="s">
        <v>7</v>
      </c>
      <c r="C6" s="9">
        <f>112771-5000-8200</f>
        <v>99571</v>
      </c>
      <c r="D6" s="9">
        <f>SUMIF(Detail!$C$5:$C$476,Summary!$B6,Detail!$F$5:$F$476)</f>
        <v>86579.99</v>
      </c>
      <c r="E6" s="10">
        <f>SUMIF(Detail!$C$5:$C$476,Summary!$B6,Detail!$G$5:$G$476)</f>
        <v>13641.32</v>
      </c>
      <c r="F6" s="11">
        <f t="shared" si="0"/>
        <v>1.0065311184983579</v>
      </c>
      <c r="G6" s="72">
        <f t="shared" si="1"/>
        <v>19405.949999999997</v>
      </c>
      <c r="H6" s="10">
        <f>SUMIF(Detail!$C$5:$C$476,Summary!$B6,Detail!$H$5:$H$476)</f>
        <v>69708.740000000005</v>
      </c>
      <c r="I6" s="10">
        <f>SUMIF(Detail!$C$5:$C$505,Summary!$B6,Detail!$I$5:$I$505)</f>
        <v>10456.31</v>
      </c>
      <c r="J6" s="10">
        <f t="shared" si="2"/>
        <v>80165.05</v>
      </c>
      <c r="K6" s="10"/>
      <c r="L6" s="10"/>
      <c r="M6" s="10">
        <f>SUMIF(Detail!$C$5:$C$505,Summary!$B6,Detail!$J$5:$J$505)</f>
        <v>0</v>
      </c>
      <c r="N6" s="10">
        <f>SUMIF(Detail!$C$5:$C$505,Summary!$B6,Detail!$K$5:$K$505)</f>
        <v>0</v>
      </c>
      <c r="O6" s="10">
        <f>SUMIF(Detail!$C$5:$C$505,Summary!$B6,Detail!$L$5:$L$505)</f>
        <v>0</v>
      </c>
      <c r="P6" s="10">
        <f>SUMIF(Detail!$C$5:$C$298, Summary!$B6, Detail!$M$5:$M$298)</f>
        <v>20056.260000000002</v>
      </c>
      <c r="Q6" s="12">
        <f>SUMIF(Detail!$C$5:$C$298, Summary!$B6, Detail!$N$5:$N$298)</f>
        <v>0</v>
      </c>
      <c r="R6" s="13">
        <f t="shared" ref="R6:R56" si="3">(D6+E6)-H6-I6-M6-N6-O6-P6-Q6</f>
        <v>-7.2759576141834259E-12</v>
      </c>
      <c r="S6" s="13"/>
    </row>
    <row r="7" spans="1:19" x14ac:dyDescent="0.25">
      <c r="A7" s="16" t="s">
        <v>6</v>
      </c>
      <c r="B7" s="15" t="s">
        <v>8</v>
      </c>
      <c r="C7" s="9">
        <f>193915+25000+20000+16590</f>
        <v>255505</v>
      </c>
      <c r="D7" s="9">
        <f>SUMIF(Detail!$C$5:$C$476,Summary!$B7,Detail!$F$5:$F$476)</f>
        <v>222175.13999999998</v>
      </c>
      <c r="E7" s="10">
        <f>SUMIF(Detail!$C$5:$C$476,Summary!$B7,Detail!$G$5:$G$476)</f>
        <v>33877.800000000003</v>
      </c>
      <c r="F7" s="11">
        <f t="shared" si="0"/>
        <v>1.0021445372888984</v>
      </c>
      <c r="G7" s="72">
        <f t="shared" si="1"/>
        <v>67601.060000000027</v>
      </c>
      <c r="H7" s="10">
        <f>SUMIF(Detail!$C$5:$C$476,Summary!$B7,Detail!$H$5:$H$476)</f>
        <v>163394.72999999998</v>
      </c>
      <c r="I7" s="10">
        <f>SUMIF(Detail!$C$5:$C$505,Summary!$B7,Detail!$I$5:$I$505)</f>
        <v>24509.21</v>
      </c>
      <c r="J7" s="10">
        <f t="shared" si="2"/>
        <v>187903.93999999997</v>
      </c>
      <c r="K7" s="10"/>
      <c r="L7" s="10"/>
      <c r="M7" s="10">
        <f>SUMIF(Detail!$C$5:$C$505,Summary!$B7,Detail!$J$5:$J$505)</f>
        <v>0</v>
      </c>
      <c r="N7" s="10">
        <f>SUMIF(Detail!$C$5:$C$505,Summary!$B7,Detail!$K$5:$K$505)</f>
        <v>0</v>
      </c>
      <c r="O7" s="10">
        <f>SUMIF(Detail!$C$5:$C$505,Summary!$B7,Detail!$L$5:$L$505)</f>
        <v>0</v>
      </c>
      <c r="P7" s="10">
        <f>SUMIF(Detail!$C$5:$C$298, Summary!$B7, Detail!$M$5:$M$298)</f>
        <v>68149</v>
      </c>
      <c r="Q7" s="12">
        <f>SUMIF(Detail!$C$5:$C$298, Summary!$B7, Detail!$N$5:$N$298)</f>
        <v>0</v>
      </c>
      <c r="R7" s="13"/>
      <c r="S7" s="13"/>
    </row>
    <row r="8" spans="1:19" x14ac:dyDescent="0.25">
      <c r="A8" s="16" t="s">
        <v>9</v>
      </c>
      <c r="B8" s="15" t="s">
        <v>10</v>
      </c>
      <c r="C8" s="9">
        <f>875054+30000+20000+15000+10.44</f>
        <v>940064.44</v>
      </c>
      <c r="D8" s="9">
        <f>SUMIF(Detail!$C$5:$C$476,Summary!$B8,Detail!$F$5:$F$476)</f>
        <v>817467.47000000009</v>
      </c>
      <c r="E8" s="10">
        <f>SUMIF(Detail!$C$5:$C$476,Summary!$B8,Detail!$G$5:$G$476)</f>
        <v>122596.97</v>
      </c>
      <c r="F8" s="11">
        <f t="shared" si="0"/>
        <v>1.0000000000000002</v>
      </c>
      <c r="G8" s="72">
        <f t="shared" si="1"/>
        <v>237909.11249999981</v>
      </c>
      <c r="H8" s="10">
        <f>SUMIF(Detail!$C$5:$C$476,Summary!$B8,Detail!$H$5:$H$476)</f>
        <v>610569.85000000009</v>
      </c>
      <c r="I8" s="10">
        <f>SUMIF(Detail!$C$5:$C$505,Summary!$B8,Detail!$I$5:$I$505)</f>
        <v>91585.477500000008</v>
      </c>
      <c r="J8" s="10">
        <f t="shared" si="2"/>
        <v>702155.32750000013</v>
      </c>
      <c r="K8" s="10"/>
      <c r="L8" s="10"/>
      <c r="M8" s="10">
        <f>SUMIF(Detail!$C$5:$C$505,Summary!$B8,Detail!$J$5:$J$505)</f>
        <v>0</v>
      </c>
      <c r="N8" s="10">
        <f>SUMIF(Detail!$C$5:$C$505,Summary!$B8,Detail!$K$5:$K$505)</f>
        <v>1765.0425000000032</v>
      </c>
      <c r="O8" s="10">
        <f>SUMIF(Detail!$C$5:$C$505,Summary!$B8,Detail!$L$5:$L$505)</f>
        <v>0</v>
      </c>
      <c r="P8" s="10">
        <f>SUMIF(Detail!$C$5:$C$298, Summary!$B8, Detail!$M$5:$M$298)</f>
        <v>236144.07000000004</v>
      </c>
      <c r="Q8" s="12">
        <f>SUMIF(Detail!$C$5:$C$298, Summary!$B8, Detail!$N$5:$N$298)</f>
        <v>0</v>
      </c>
      <c r="R8" s="13">
        <f t="shared" si="3"/>
        <v>-8.7311491370201111E-11</v>
      </c>
      <c r="S8" s="13"/>
    </row>
    <row r="9" spans="1:19" x14ac:dyDescent="0.25">
      <c r="A9" s="16" t="s">
        <v>11</v>
      </c>
      <c r="B9" s="15" t="s">
        <v>102</v>
      </c>
      <c r="C9" s="9">
        <f>165008+10000</f>
        <v>175008</v>
      </c>
      <c r="D9" s="9">
        <f>SUMIF(Detail!$C$5:$C$476,Summary!$B9,Detail!$F$5:$F$476)</f>
        <v>139864.97</v>
      </c>
      <c r="E9" s="10">
        <f>SUMIF(Detail!$C$5:$C$476,Summary!$B9,Detail!$G$5:$G$476)</f>
        <v>23725.579999999998</v>
      </c>
      <c r="F9" s="11">
        <f t="shared" si="0"/>
        <v>0.93476041095264206</v>
      </c>
      <c r="G9" s="72">
        <f t="shared" si="1"/>
        <v>53130.98000000001</v>
      </c>
      <c r="H9" s="10">
        <f>SUMIF(Detail!$C$5:$C$476,Summary!$B9,Detail!$H$5:$H$476)</f>
        <v>105956.54</v>
      </c>
      <c r="I9" s="10">
        <f>SUMIF(Detail!$C$5:$C$505,Summary!$B9,Detail!$I$5:$I$505)</f>
        <v>15920.48</v>
      </c>
      <c r="J9" s="10">
        <f t="shared" si="2"/>
        <v>121877.01999999999</v>
      </c>
      <c r="K9" s="10"/>
      <c r="L9" s="10"/>
      <c r="M9" s="10">
        <f>SUMIF(Detail!$C$5:$C$505,Summary!$B9,Detail!$J$5:$J$505)</f>
        <v>0</v>
      </c>
      <c r="N9" s="10">
        <f>SUMIF(Detail!$C$5:$C$505,Summary!$B9,Detail!$K$5:$K$505)</f>
        <v>1939.3999999999996</v>
      </c>
      <c r="O9" s="10">
        <f>SUMIF(Detail!$C$5:$C$505,Summary!$B9,Detail!$L$5:$L$505)</f>
        <v>0</v>
      </c>
      <c r="P9" s="10">
        <f>SUMIF(Detail!$C$5:$C$298, Summary!$B9, Detail!$M$5:$M$298)</f>
        <v>39774.129999999997</v>
      </c>
      <c r="Q9" s="12">
        <f>SUMIF(Detail!$C$5:$C$298, Summary!$B9, Detail!$N$5:$N$298)</f>
        <v>0</v>
      </c>
      <c r="R9" s="13">
        <f t="shared" si="3"/>
        <v>0</v>
      </c>
      <c r="S9" s="13"/>
    </row>
    <row r="10" spans="1:19" x14ac:dyDescent="0.25">
      <c r="A10" s="16" t="s">
        <v>12</v>
      </c>
      <c r="B10" s="15" t="s">
        <v>13</v>
      </c>
      <c r="C10" s="9">
        <v>125685</v>
      </c>
      <c r="D10" s="9">
        <f>SUMIF(Detail!$C$5:$C$476,Summary!$B10,Detail!$F$5:$F$476)</f>
        <v>57438.320000000007</v>
      </c>
      <c r="E10" s="10">
        <f>SUMIF(Detail!$C$5:$C$476,Summary!$B10,Detail!$G$5:$G$476)</f>
        <v>10025</v>
      </c>
      <c r="F10" s="11">
        <f t="shared" si="0"/>
        <v>0.53676508732147832</v>
      </c>
      <c r="G10" s="72">
        <f t="shared" si="1"/>
        <v>83688.712</v>
      </c>
      <c r="H10" s="10">
        <f>SUMIF(Detail!$C$5:$C$476,Summary!$B10,Detail!$H$5:$H$476)</f>
        <v>36518.51</v>
      </c>
      <c r="I10" s="10">
        <f>SUMIF(Detail!$C$5:$C$505,Summary!$B10,Detail!$I$5:$I$505)</f>
        <v>5477.7780000000002</v>
      </c>
      <c r="J10" s="10">
        <f t="shared" si="2"/>
        <v>41996.288</v>
      </c>
      <c r="K10" s="10"/>
      <c r="L10" s="10"/>
      <c r="M10" s="10">
        <f>SUMIF(Detail!$C$5:$C$505,Summary!$B10,Detail!$J$5:$J$505)</f>
        <v>0</v>
      </c>
      <c r="N10" s="10">
        <f>SUMIF(Detail!$C$5:$C$505,Summary!$B10,Detail!$K$5:$K$505)</f>
        <v>2172.2219999999998</v>
      </c>
      <c r="O10" s="10">
        <f>SUMIF(Detail!$C$5:$C$505,Summary!$B10,Detail!$L$5:$L$505)</f>
        <v>0</v>
      </c>
      <c r="P10" s="10">
        <f>SUMIF(Detail!$C$5:$C$298, Summary!$B10, Detail!$M$5:$M$298)</f>
        <v>23294.81</v>
      </c>
      <c r="Q10" s="12">
        <f>SUMIF(Detail!$C$5:$C$298, Summary!$B10, Detail!$N$5:$N$298)</f>
        <v>0</v>
      </c>
      <c r="R10" s="13">
        <f t="shared" si="3"/>
        <v>3.637978807091713E-12</v>
      </c>
      <c r="S10" s="13"/>
    </row>
    <row r="11" spans="1:19" x14ac:dyDescent="0.25">
      <c r="A11" s="16" t="s">
        <v>14</v>
      </c>
      <c r="B11" s="15" t="s">
        <v>15</v>
      </c>
      <c r="C11" s="9">
        <f>64169-26100</f>
        <v>38069</v>
      </c>
      <c r="D11" s="9">
        <f>SUMIF(Detail!$C$5:$C$476,Summary!$B11,Detail!$F$5:$F$476)</f>
        <v>10407.630000000001</v>
      </c>
      <c r="E11" s="10">
        <f>SUMIF(Detail!$C$5:$C$476,Summary!$B11,Detail!$G$5:$G$476)</f>
        <v>2125.0699999999997</v>
      </c>
      <c r="F11" s="11">
        <f t="shared" si="0"/>
        <v>0.32921011846909559</v>
      </c>
      <c r="G11" s="72">
        <f t="shared" si="1"/>
        <v>26100.227999999999</v>
      </c>
      <c r="H11" s="10">
        <f>SUMIF(Detail!$C$5:$C$476,Summary!$B11,Detail!$H$5:$H$476)</f>
        <v>10407.630000000001</v>
      </c>
      <c r="I11" s="10">
        <f>SUMIF(Detail!$C$5:$C$505,Summary!$B11,Detail!$I$5:$I$505)</f>
        <v>1561.1420000000001</v>
      </c>
      <c r="J11" s="10">
        <f t="shared" si="2"/>
        <v>11968.772000000001</v>
      </c>
      <c r="K11" s="10"/>
      <c r="L11" s="10"/>
      <c r="M11" s="10">
        <f>SUMIF(Detail!$C$5:$C$505,Summary!$B11,Detail!$J$5:$J$505)</f>
        <v>0</v>
      </c>
      <c r="N11" s="10">
        <f>SUMIF(Detail!$C$5:$C$505,Summary!$B11,Detail!$K$5:$K$505)</f>
        <v>563.92799999999988</v>
      </c>
      <c r="O11" s="10">
        <f>SUMIF(Detail!$C$5:$C$505,Summary!$B11,Detail!$L$5:$L$505)</f>
        <v>0</v>
      </c>
      <c r="P11" s="10">
        <f>SUMIF(Detail!$C$5:$C$298, Summary!$B11, Detail!$M$5:$M$298)</f>
        <v>0</v>
      </c>
      <c r="Q11" s="12">
        <f>SUMIF(Detail!$C$5:$C$298, Summary!$B11, Detail!$N$5:$N$298)</f>
        <v>0</v>
      </c>
      <c r="R11" s="13">
        <f t="shared" si="3"/>
        <v>-2.2737367544323206E-13</v>
      </c>
      <c r="S11" s="13"/>
    </row>
    <row r="12" spans="1:19" s="1" customFormat="1" x14ac:dyDescent="0.25">
      <c r="A12" s="14" t="s">
        <v>16</v>
      </c>
      <c r="B12" s="15" t="s">
        <v>17</v>
      </c>
      <c r="C12" s="9">
        <f>69937-34800</f>
        <v>35137</v>
      </c>
      <c r="D12" s="9">
        <f>SUMIF(Detail!$C$5:$C$476,Summary!$B12,Detail!$F$5:$F$476)</f>
        <v>7514.7900000000009</v>
      </c>
      <c r="E12" s="10">
        <f>SUMIF(Detail!$C$5:$C$476,Summary!$B12,Detail!$G$5:$G$476)</f>
        <v>1127.27</v>
      </c>
      <c r="F12" s="11">
        <f t="shared" si="0"/>
        <v>0.2459532686342033</v>
      </c>
      <c r="G12" s="72">
        <f t="shared" si="1"/>
        <v>34387.43</v>
      </c>
      <c r="H12" s="10">
        <f>SUMIF(Detail!$C$5:$C$476,Summary!$B12,Detail!$H$5:$H$476)</f>
        <v>651.80999999999995</v>
      </c>
      <c r="I12" s="10">
        <f>SUMIF(Detail!$C$5:$C$505,Summary!$B12,Detail!$I$5:$I$505)</f>
        <v>97.76</v>
      </c>
      <c r="J12" s="10">
        <f t="shared" si="2"/>
        <v>749.56999999999994</v>
      </c>
      <c r="K12" s="10"/>
      <c r="L12" s="10"/>
      <c r="M12" s="10">
        <f>SUMIF(Detail!$C$5:$C$505,Summary!$B12,Detail!$J$5:$J$505)</f>
        <v>7892.4800000000005</v>
      </c>
      <c r="N12" s="10">
        <f>SUMIF(Detail!$C$5:$C$505,Summary!$B12,Detail!$K$5:$K$505)</f>
        <v>0.01</v>
      </c>
      <c r="O12" s="10">
        <f>SUMIF(Detail!$C$5:$C$505,Summary!$B12,Detail!$L$5:$L$505)</f>
        <v>0</v>
      </c>
      <c r="P12" s="10">
        <f>SUMIF(Detail!$C$5:$C$298, Summary!$B12, Detail!$M$5:$M$298)</f>
        <v>0</v>
      </c>
      <c r="Q12" s="12">
        <f>SUMIF(Detail!$C$5:$C$298, Summary!$B12, Detail!$N$5:$N$298)</f>
        <v>0</v>
      </c>
      <c r="R12" s="13">
        <f t="shared" si="3"/>
        <v>1.1277732220316139E-12</v>
      </c>
      <c r="S12" s="13"/>
    </row>
    <row r="13" spans="1:19" s="1" customFormat="1" x14ac:dyDescent="0.25">
      <c r="A13" s="14" t="s">
        <v>20</v>
      </c>
      <c r="B13" s="15" t="s">
        <v>18</v>
      </c>
      <c r="C13" s="9">
        <f>477257-40000</f>
        <v>437257</v>
      </c>
      <c r="D13" s="9">
        <f>SUMIF(Detail!$C$5:$C$476,Summary!$B13,Detail!$F$5:$F$476)</f>
        <v>299966.08999999997</v>
      </c>
      <c r="E13" s="10">
        <f>SUMIF(Detail!$C$5:$C$476,Summary!$B13,Detail!$G$5:$G$476)</f>
        <v>73636.17</v>
      </c>
      <c r="F13" s="11">
        <f t="shared" si="0"/>
        <v>0.8544225935776899</v>
      </c>
      <c r="G13" s="72">
        <f t="shared" si="1"/>
        <v>274346.065</v>
      </c>
      <c r="H13" s="10">
        <f>SUMIF(Detail!$C$5:$C$476,Summary!$B13,Detail!$H$5:$H$476)</f>
        <v>141661.68</v>
      </c>
      <c r="I13" s="10">
        <f>SUMIF(Detail!$C$5:$C$505,Summary!$B13,Detail!$I$5:$I$505)</f>
        <v>21249.255000000001</v>
      </c>
      <c r="J13" s="10">
        <f t="shared" si="2"/>
        <v>162910.935</v>
      </c>
      <c r="K13" s="10"/>
      <c r="L13" s="10"/>
      <c r="M13" s="10">
        <f>SUMIF(Detail!$C$5:$C$505,Summary!$B13,Detail!$J$5:$J$505)</f>
        <v>176575.64</v>
      </c>
      <c r="N13" s="10">
        <f>SUMIF(Detail!$C$5:$C$505,Summary!$B13,Detail!$K$5:$K$505)</f>
        <v>34115.684999999998</v>
      </c>
      <c r="O13" s="10">
        <f>SUMIF(Detail!$C$5:$C$505,Summary!$B13,Detail!$L$5:$L$505)</f>
        <v>0</v>
      </c>
      <c r="P13" s="10">
        <f>SUMIF(Detail!$C$5:$C$298, Summary!$B13, Detail!$M$5:$M$298)</f>
        <v>0</v>
      </c>
      <c r="Q13" s="12">
        <f>SUMIF(Detail!$C$5:$C$298, Summary!$B13, Detail!$N$5:$N$298)</f>
        <v>0</v>
      </c>
      <c r="R13" s="13">
        <f t="shared" si="3"/>
        <v>-5.8207660913467407E-11</v>
      </c>
      <c r="S13" s="13"/>
    </row>
    <row r="14" spans="1:19" s="1" customFormat="1" x14ac:dyDescent="0.25">
      <c r="A14" s="14" t="s">
        <v>103</v>
      </c>
      <c r="B14" s="15" t="s">
        <v>19</v>
      </c>
      <c r="C14" s="9">
        <f>265298+50000+16000</f>
        <v>331298</v>
      </c>
      <c r="D14" s="9">
        <f>SUMIF(Detail!$C$5:$C$476,Summary!$B14,Detail!$F$5:$F$476)</f>
        <v>291087.77</v>
      </c>
      <c r="E14" s="10">
        <f>SUMIF(Detail!$C$5:$C$476,Summary!$B14,Detail!$G$5:$G$476)</f>
        <v>46582.630000000005</v>
      </c>
      <c r="F14" s="11">
        <f t="shared" si="0"/>
        <v>1.0192346467530744</v>
      </c>
      <c r="G14" s="72">
        <f t="shared" si="1"/>
        <v>38811.612499999988</v>
      </c>
      <c r="H14" s="10">
        <f>SUMIF(Detail!$C$5:$C$476,Summary!$B14,Detail!$H$5:$H$476)</f>
        <v>254335.99</v>
      </c>
      <c r="I14" s="10">
        <f>SUMIF(Detail!$C$5:$C$505,Summary!$B14,Detail!$I$5:$I$505)</f>
        <v>38150.397500000006</v>
      </c>
      <c r="J14" s="10">
        <f t="shared" si="2"/>
        <v>292486.38750000001</v>
      </c>
      <c r="K14" s="10"/>
      <c r="L14" s="10"/>
      <c r="M14" s="10">
        <f>SUMIF(Detail!$C$5:$C$505,Summary!$B14,Detail!$J$5:$J$505)</f>
        <v>39975.56</v>
      </c>
      <c r="N14" s="10">
        <f>SUMIF(Detail!$C$5:$C$505,Summary!$B14,Detail!$K$5:$K$505)</f>
        <v>5208.4525000000003</v>
      </c>
      <c r="O14" s="10">
        <f>SUMIF(Detail!$C$5:$C$505,Summary!$B14,Detail!$L$5:$L$505)</f>
        <v>0</v>
      </c>
      <c r="P14" s="10">
        <f>SUMIF(Detail!$C$5:$C$298, Summary!$B14, Detail!$M$5:$M$298)</f>
        <v>0</v>
      </c>
      <c r="Q14" s="12">
        <f>SUMIF(Detail!$C$5:$C$298, Summary!$B14, Detail!$N$5:$N$298)</f>
        <v>0</v>
      </c>
      <c r="R14" s="13">
        <f t="shared" si="3"/>
        <v>2.8194335754960775E-11</v>
      </c>
      <c r="S14" s="13"/>
    </row>
    <row r="15" spans="1:19" x14ac:dyDescent="0.25">
      <c r="A15" s="16" t="s">
        <v>20</v>
      </c>
      <c r="B15" s="15" t="s">
        <v>21</v>
      </c>
      <c r="C15" s="9">
        <v>80174</v>
      </c>
      <c r="D15" s="9">
        <f>SUMIF(Detail!$C$5:$C$476,Summary!$B15,Detail!$F$5:$F$476)</f>
        <v>67942.099999999991</v>
      </c>
      <c r="E15" s="10">
        <f>SUMIF(Detail!$C$5:$C$476,Summary!$B15,Detail!$G$5:$G$476)</f>
        <v>21533.439999999999</v>
      </c>
      <c r="F15" s="11">
        <f t="shared" si="0"/>
        <v>1.1160169132137601</v>
      </c>
      <c r="G15" s="72">
        <f t="shared" si="1"/>
        <v>11261.175000000003</v>
      </c>
      <c r="H15" s="10">
        <f>SUMIF(Detail!$C$5:$C$476,Summary!$B15,Detail!$H$5:$H$476)</f>
        <v>59924.2</v>
      </c>
      <c r="I15" s="10">
        <f>SUMIF(Detail!$C$5:$C$505,Summary!$B15,Detail!$I$5:$I$505)</f>
        <v>8988.625</v>
      </c>
      <c r="J15" s="10">
        <f t="shared" si="2"/>
        <v>68912.824999999997</v>
      </c>
      <c r="K15" s="10"/>
      <c r="L15" s="10"/>
      <c r="M15" s="10">
        <f>SUMIF(Detail!$C$5:$C$505,Summary!$B15,Detail!$J$5:$J$505)</f>
        <v>0</v>
      </c>
      <c r="N15" s="10">
        <f>SUMIF(Detail!$C$5:$C$505,Summary!$B15,Detail!$K$5:$K$505)</f>
        <v>8760.9050000000007</v>
      </c>
      <c r="O15" s="10">
        <f>SUMIF(Detail!$C$5:$C$505,Summary!$B15,Detail!$L$5:$L$505)</f>
        <v>0</v>
      </c>
      <c r="P15" s="10">
        <f>SUMIF(Detail!$C$5:$C$298, Summary!$B15, Detail!$M$5:$M$298)</f>
        <v>11801.810000000001</v>
      </c>
      <c r="Q15" s="12">
        <f>SUMIF(Detail!$C$5:$C$298, Summary!$B15, Detail!$N$5:$N$298)</f>
        <v>0</v>
      </c>
      <c r="R15" s="13">
        <f t="shared" si="3"/>
        <v>-5.4569682106375694E-12</v>
      </c>
      <c r="S15" s="13"/>
    </row>
    <row r="16" spans="1:19" x14ac:dyDescent="0.25">
      <c r="A16" s="14" t="s">
        <v>20</v>
      </c>
      <c r="B16" s="15" t="s">
        <v>22</v>
      </c>
      <c r="C16" s="9">
        <f>115842+40000+30000+20000</f>
        <v>205842</v>
      </c>
      <c r="D16" s="9">
        <f>SUMIF(Detail!$C$5:$C$476,Summary!$B16,Detail!$F$5:$F$476)</f>
        <v>184759.9</v>
      </c>
      <c r="E16" s="10">
        <f>SUMIF(Detail!$C$5:$C$476,Summary!$B16,Detail!$G$5:$G$476)</f>
        <v>35740.339999999997</v>
      </c>
      <c r="F16" s="11">
        <f t="shared" si="0"/>
        <v>1.0712111230944121</v>
      </c>
      <c r="G16" s="72">
        <f t="shared" si="1"/>
        <v>101725.3325</v>
      </c>
      <c r="H16" s="10">
        <f>SUMIF(Detail!$C$5:$C$476,Summary!$B16,Detail!$H$5:$H$476)</f>
        <v>90536.239999999991</v>
      </c>
      <c r="I16" s="10">
        <f>SUMIF(Detail!$C$5:$C$505,Summary!$B16,Detail!$I$5:$I$505)</f>
        <v>13580.4275</v>
      </c>
      <c r="J16" s="10">
        <f t="shared" si="2"/>
        <v>104116.6675</v>
      </c>
      <c r="K16" s="10"/>
      <c r="L16" s="10"/>
      <c r="M16" s="10">
        <f>SUMIF(Detail!$C$5:$C$505,Summary!$B16,Detail!$J$5:$J$505)</f>
        <v>101116.89</v>
      </c>
      <c r="N16" s="10">
        <f>SUMIF(Detail!$C$5:$C$505,Summary!$B16,Detail!$K$5:$K$505)</f>
        <v>15266.682500000003</v>
      </c>
      <c r="O16" s="10">
        <f>SUMIF(Detail!$C$5:$C$505,Summary!$B16,Detail!$L$5:$L$505)</f>
        <v>0</v>
      </c>
      <c r="P16" s="10">
        <f>SUMIF(Detail!$C$5:$C$298, Summary!$B16, Detail!$M$5:$M$298)</f>
        <v>0</v>
      </c>
      <c r="Q16" s="12">
        <f>SUMIF(Detail!$C$5:$C$298, Summary!$B16, Detail!$N$5:$N$298)</f>
        <v>0</v>
      </c>
      <c r="R16" s="13">
        <f t="shared" si="3"/>
        <v>-7.2759576141834259E-12</v>
      </c>
      <c r="S16" s="13"/>
    </row>
    <row r="17" spans="1:19" s="1" customFormat="1" x14ac:dyDescent="0.25">
      <c r="A17" s="14" t="s">
        <v>23</v>
      </c>
      <c r="B17" s="15" t="s">
        <v>104</v>
      </c>
      <c r="C17" s="9">
        <f>84881-11300</f>
        <v>73581</v>
      </c>
      <c r="D17" s="9">
        <f>SUMIF(Detail!$C$5:$C$476,Summary!$B17,Detail!$F$5:$F$476)</f>
        <v>63866.5</v>
      </c>
      <c r="E17" s="10">
        <f>SUMIF(Detail!$C$5:$C$476,Summary!$B17,Detail!$G$5:$G$476)</f>
        <v>9580.010000000002</v>
      </c>
      <c r="F17" s="11">
        <f t="shared" si="0"/>
        <v>0.99817221837159065</v>
      </c>
      <c r="G17" s="72">
        <f t="shared" si="1"/>
        <v>27258.157499999994</v>
      </c>
      <c r="H17" s="10">
        <f>SUMIF(Detail!$C$5:$C$476,Summary!$B17,Detail!$H$5:$H$476)</f>
        <v>40280.730000000003</v>
      </c>
      <c r="I17" s="10">
        <f>SUMIF(Detail!$C$5:$C$505,Summary!$B17,Detail!$I$5:$I$505)</f>
        <v>6042.1125000000002</v>
      </c>
      <c r="J17" s="10">
        <f t="shared" si="2"/>
        <v>46322.842500000006</v>
      </c>
      <c r="K17" s="10"/>
      <c r="L17" s="10"/>
      <c r="M17" s="10">
        <f>SUMIF(Detail!$C$5:$C$505,Summary!$B17,Detail!$J$5:$J$505)</f>
        <v>27123.609999999997</v>
      </c>
      <c r="N17" s="10">
        <f>SUMIF(Detail!$C$5:$C$505,Summary!$B17,Detail!$K$5:$K$505)</f>
        <v>5.7500000000345608E-2</v>
      </c>
      <c r="O17" s="10">
        <f>SUMIF(Detail!$C$5:$C$505,Summary!$B17,Detail!$L$5:$L$505)</f>
        <v>0</v>
      </c>
      <c r="P17" s="10">
        <f>SUMIF(Detail!$C$5:$C$298, Summary!$B17, Detail!$M$5:$M$298)</f>
        <v>0</v>
      </c>
      <c r="Q17" s="12">
        <f>SUMIF(Detail!$C$5:$C$298, Summary!$B17, Detail!$N$5:$N$298)</f>
        <v>0</v>
      </c>
      <c r="R17" s="13">
        <f t="shared" si="3"/>
        <v>9.5496943686157465E-12</v>
      </c>
      <c r="S17" s="13"/>
    </row>
    <row r="18" spans="1:19" s="1" customFormat="1" x14ac:dyDescent="0.25">
      <c r="A18" s="14" t="s">
        <v>24</v>
      </c>
      <c r="B18" s="15" t="s">
        <v>25</v>
      </c>
      <c r="C18" s="9">
        <f>321050-55800</f>
        <v>265250</v>
      </c>
      <c r="D18" s="9">
        <f>SUMIF(Detail!$C$5:$C$476,Summary!$B18,Detail!$F$5:$F$476)</f>
        <v>171637.85</v>
      </c>
      <c r="E18" s="10">
        <f>SUMIF(Detail!$C$5:$C$476,Summary!$B18,Detail!$G$5:$G$476)</f>
        <v>31524.550000000003</v>
      </c>
      <c r="F18" s="11">
        <f t="shared" si="0"/>
        <v>0.76592799245994359</v>
      </c>
      <c r="G18" s="72">
        <f t="shared" si="1"/>
        <v>123424.9975</v>
      </c>
      <c r="H18" s="10">
        <f>SUMIF(Detail!$C$5:$C$476,Summary!$B18,Detail!$H$5:$H$476)</f>
        <v>123326.09000000001</v>
      </c>
      <c r="I18" s="10">
        <f>SUMIF(Detail!$C$5:$C$505,Summary!$B18,Detail!$I$5:$I$505)</f>
        <v>18498.912499999999</v>
      </c>
      <c r="J18" s="10">
        <f t="shared" si="2"/>
        <v>141825.0025</v>
      </c>
      <c r="K18" s="10"/>
      <c r="L18" s="10"/>
      <c r="M18" s="10">
        <f>SUMIF(Detail!$C$5:$C$505,Summary!$B18,Detail!$J$5:$J$505)</f>
        <v>0</v>
      </c>
      <c r="N18" s="10">
        <f>SUMIF(Detail!$C$5:$C$505,Summary!$B18,Detail!$K$5:$K$505)</f>
        <v>5544.9674999999997</v>
      </c>
      <c r="O18" s="10">
        <f>SUMIF(Detail!$C$5:$C$505,Summary!$B18,Detail!$L$5:$L$505)</f>
        <v>0</v>
      </c>
      <c r="P18" s="10">
        <f>SUMIF(Detail!$C$5:$C$298, Summary!$B18, Detail!$M$5:$M$298)</f>
        <v>55792.43</v>
      </c>
      <c r="Q18" s="12">
        <f>SUMIF(Detail!$C$5:$C$298, Summary!$B18, Detail!$N$5:$N$298)</f>
        <v>0</v>
      </c>
      <c r="R18" s="13">
        <f t="shared" si="3"/>
        <v>1.4551915228366852E-11</v>
      </c>
      <c r="S18" s="13"/>
    </row>
    <row r="19" spans="1:19" x14ac:dyDescent="0.25">
      <c r="A19" s="16" t="s">
        <v>6</v>
      </c>
      <c r="B19" s="15" t="s">
        <v>26</v>
      </c>
      <c r="C19" s="9">
        <f>189523-25000-35000-3250</f>
        <v>126273</v>
      </c>
      <c r="D19" s="9">
        <f>SUMIF(Detail!$C$5:$C$476,Summary!$B19,Detail!$F$5:$F$476)</f>
        <v>109770.65</v>
      </c>
      <c r="E19" s="10">
        <f>SUMIF(Detail!$C$5:$C$476,Summary!$B19,Detail!$G$5:$G$476)</f>
        <v>17068.59</v>
      </c>
      <c r="F19" s="11">
        <f t="shared" si="0"/>
        <v>1.0044842523738249</v>
      </c>
      <c r="G19" s="72">
        <f t="shared" si="1"/>
        <v>47023.11</v>
      </c>
      <c r="H19" s="10">
        <f>SUMIF(Detail!$C$5:$C$476,Summary!$B19,Detail!$H$5:$H$476)</f>
        <v>68912.95</v>
      </c>
      <c r="I19" s="10">
        <f>SUMIF(Detail!$C$5:$C$505,Summary!$B19,Detail!$I$5:$I$505)</f>
        <v>10336.94</v>
      </c>
      <c r="J19" s="10">
        <f t="shared" si="2"/>
        <v>79249.89</v>
      </c>
      <c r="K19" s="10"/>
      <c r="L19" s="10"/>
      <c r="M19" s="10">
        <f>SUMIF(Detail!$C$5:$C$505,Summary!$B19,Detail!$J$5:$J$505)</f>
        <v>0</v>
      </c>
      <c r="N19" s="10">
        <f>SUMIF(Detail!$C$5:$C$505,Summary!$B19,Detail!$K$5:$K$505)</f>
        <v>4.5</v>
      </c>
      <c r="O19" s="10">
        <f>SUMIF(Detail!$C$5:$C$505,Summary!$B19,Detail!$L$5:$L$505)</f>
        <v>0</v>
      </c>
      <c r="P19" s="10">
        <f>SUMIF(Detail!$C$5:$C$298, Summary!$B19, Detail!$M$5:$M$298)</f>
        <v>47584.85</v>
      </c>
      <c r="Q19" s="12">
        <f>SUMIF(Detail!$C$5:$C$298, Summary!$B19, Detail!$N$5:$N$298)</f>
        <v>0</v>
      </c>
      <c r="R19" s="13">
        <f t="shared" si="3"/>
        <v>-7.2759576141834259E-12</v>
      </c>
      <c r="S19" s="13"/>
    </row>
    <row r="20" spans="1:19" s="1" customFormat="1" x14ac:dyDescent="0.25">
      <c r="A20" s="14" t="s">
        <v>151</v>
      </c>
      <c r="B20" s="15" t="s">
        <v>27</v>
      </c>
      <c r="C20" s="9">
        <f>111369+20000+10000</f>
        <v>141369</v>
      </c>
      <c r="D20" s="9">
        <f>SUMIF(Detail!$C$5:$C$476,Summary!$B20,Detail!$F$5:$F$476)</f>
        <v>123740.91</v>
      </c>
      <c r="E20" s="10">
        <f>SUMIF(Detail!$C$5:$C$476,Summary!$B20,Detail!$G$5:$G$476)</f>
        <v>16447.48</v>
      </c>
      <c r="F20" s="11">
        <f t="shared" si="0"/>
        <v>0.9916487348711529</v>
      </c>
      <c r="G20" s="72">
        <f t="shared" si="1"/>
        <v>85002.187000000005</v>
      </c>
      <c r="H20" s="10">
        <f>SUMIF(Detail!$C$5:$C$476,Summary!$B20,Detail!$H$5:$H$476)</f>
        <v>49014.62</v>
      </c>
      <c r="I20" s="10">
        <f>SUMIF(Detail!$C$5:$C$505,Summary!$B20,Detail!$I$5:$I$505)</f>
        <v>7352.1930000000002</v>
      </c>
      <c r="J20" s="10">
        <f t="shared" si="2"/>
        <v>56366.813000000002</v>
      </c>
      <c r="K20" s="10"/>
      <c r="L20" s="10"/>
      <c r="M20" s="10">
        <f>SUMIF(Detail!$C$5:$C$505,Summary!$B20,Detail!$J$5:$J$505)</f>
        <v>83808.080000000016</v>
      </c>
      <c r="N20" s="10">
        <f>SUMIF(Detail!$C$5:$C$505,Summary!$B20,Detail!$K$5:$K$505)</f>
        <v>13.496999999999389</v>
      </c>
      <c r="O20" s="10">
        <f>SUMIF(Detail!$C$5:$C$505,Summary!$B20,Detail!$L$5:$L$505)</f>
        <v>0</v>
      </c>
      <c r="P20" s="10">
        <f>SUMIF(Detail!$C$5:$C$298, Summary!$B20, Detail!$M$5:$M$298)</f>
        <v>0</v>
      </c>
      <c r="Q20" s="12">
        <f>SUMIF(Detail!$C$5:$C$298, Summary!$B20, Detail!$N$5:$N$298)</f>
        <v>0</v>
      </c>
      <c r="R20" s="13">
        <f t="shared" si="3"/>
        <v>3.637978807091713E-12</v>
      </c>
      <c r="S20" s="13"/>
    </row>
    <row r="21" spans="1:19" x14ac:dyDescent="0.25">
      <c r="A21" s="16" t="s">
        <v>28</v>
      </c>
      <c r="B21" s="15" t="s">
        <v>105</v>
      </c>
      <c r="C21" s="9">
        <f>143267-26000</f>
        <v>117267</v>
      </c>
      <c r="D21" s="9">
        <f>SUMIF(Detail!$C$5:$C$476,Summary!$B21,Detail!$F$5:$F$476)</f>
        <v>24277.33</v>
      </c>
      <c r="E21" s="10">
        <f>SUMIF(Detail!$C$5:$C$476,Summary!$B21,Detail!$G$5:$G$476)</f>
        <v>4231.18</v>
      </c>
      <c r="F21" s="11">
        <f t="shared" si="0"/>
        <v>0.24310769440678112</v>
      </c>
      <c r="G21" s="72">
        <f t="shared" si="1"/>
        <v>117267</v>
      </c>
      <c r="H21" s="10">
        <f>SUMIF(Detail!$C$5:$C$476,Summary!$B21,Detail!$H$5:$H$476)</f>
        <v>0</v>
      </c>
      <c r="I21" s="10">
        <f>SUMIF(Detail!$C$5:$C$505,Summary!$B21,Detail!$I$5:$I$505)</f>
        <v>0</v>
      </c>
      <c r="J21" s="10">
        <f t="shared" si="2"/>
        <v>0</v>
      </c>
      <c r="K21" s="10"/>
      <c r="L21" s="10"/>
      <c r="M21" s="10">
        <f>SUMIF(Detail!$C$5:$C$505,Summary!$B21,Detail!$J$5:$J$505)</f>
        <v>28508.510000000002</v>
      </c>
      <c r="N21" s="10">
        <f>SUMIF(Detail!$C$5:$C$505,Summary!$B21,Detail!$K$5:$K$505)</f>
        <v>0</v>
      </c>
      <c r="O21" s="10">
        <f>SUMIF(Detail!$C$5:$C$505,Summary!$B21,Detail!$L$5:$L$505)</f>
        <v>0</v>
      </c>
      <c r="P21" s="10">
        <f>SUMIF(Detail!$C$5:$C$298, Summary!$B21, Detail!$M$5:$M$298)</f>
        <v>0</v>
      </c>
      <c r="Q21" s="12">
        <f>SUMIF(Detail!$C$5:$C$298, Summary!$B21, Detail!$N$5:$N$298)</f>
        <v>0</v>
      </c>
      <c r="R21" s="13">
        <f t="shared" si="3"/>
        <v>0</v>
      </c>
      <c r="S21" s="13"/>
    </row>
    <row r="22" spans="1:19" s="1" customFormat="1" x14ac:dyDescent="0.25">
      <c r="A22" s="14" t="s">
        <v>29</v>
      </c>
      <c r="B22" s="15" t="s">
        <v>106</v>
      </c>
      <c r="C22" s="9">
        <f>148445+15000</f>
        <v>163445</v>
      </c>
      <c r="D22" s="9">
        <f>SUMIF(Detail!$C$5:$C$476,Summary!$B22,Detail!$F$5:$F$476)</f>
        <v>156021.47000000003</v>
      </c>
      <c r="E22" s="10">
        <f>SUMIF(Detail!$C$5:$C$476,Summary!$B22,Detail!$G$5:$G$476)</f>
        <v>10151.380000000001</v>
      </c>
      <c r="F22" s="11">
        <f t="shared" si="0"/>
        <v>1.0166897121355809</v>
      </c>
      <c r="G22" s="72">
        <f t="shared" si="1"/>
        <v>4666.7199999999721</v>
      </c>
      <c r="H22" s="10">
        <f>SUMIF(Detail!$C$5:$C$476,Summary!$B22,Detail!$H$5:$H$476)</f>
        <v>148790.08000000002</v>
      </c>
      <c r="I22" s="10">
        <f>SUMIF(Detail!$C$5:$C$505,Summary!$B22,Detail!$I$5:$I$505)</f>
        <v>9988.2000000000007</v>
      </c>
      <c r="J22" s="10">
        <f t="shared" si="2"/>
        <v>158778.28000000003</v>
      </c>
      <c r="K22" s="10"/>
      <c r="L22" s="10"/>
      <c r="M22" s="10">
        <f>SUMIF(Detail!$C$5:$C$505,Summary!$B22,Detail!$J$5:$J$505)</f>
        <v>7394.57</v>
      </c>
      <c r="N22" s="10">
        <f>SUMIF(Detail!$C$5:$C$505,Summary!$B22,Detail!$K$5:$K$505)</f>
        <v>0</v>
      </c>
      <c r="O22" s="10">
        <f>SUMIF(Detail!$C$5:$C$505,Summary!$B22,Detail!$L$5:$L$505)</f>
        <v>0</v>
      </c>
      <c r="P22" s="10">
        <f>SUMIF(Detail!$C$5:$C$298, Summary!$B22, Detail!$M$5:$M$298)</f>
        <v>0</v>
      </c>
      <c r="Q22" s="12">
        <f>SUMIF(Detail!$C$5:$C$298, Summary!$B22, Detail!$N$5:$N$298)</f>
        <v>0</v>
      </c>
      <c r="R22" s="13">
        <f t="shared" si="3"/>
        <v>1.8189894035458565E-11</v>
      </c>
      <c r="S22" s="13"/>
    </row>
    <row r="23" spans="1:19" x14ac:dyDescent="0.25">
      <c r="A23" s="16" t="s">
        <v>6</v>
      </c>
      <c r="B23" s="15" t="s">
        <v>30</v>
      </c>
      <c r="C23" s="9">
        <f>193206+20000+25000+25000+4870</f>
        <v>268076</v>
      </c>
      <c r="D23" s="9">
        <f>SUMIF(Detail!$C$5:$C$476,Summary!$B23,Detail!$F$5:$F$476)</f>
        <v>233108.48000000001</v>
      </c>
      <c r="E23" s="10">
        <f>SUMIF(Detail!$C$5:$C$476,Summary!$B23,Detail!$G$5:$G$476)</f>
        <v>35564.18</v>
      </c>
      <c r="F23" s="11">
        <f t="shared" si="0"/>
        <v>1.0022257121114908</v>
      </c>
      <c r="G23" s="72">
        <f t="shared" si="1"/>
        <v>82844.87</v>
      </c>
      <c r="H23" s="10">
        <f>SUMIF(Detail!$C$5:$C$476,Summary!$B23,Detail!$H$5:$H$476)</f>
        <v>161070.54</v>
      </c>
      <c r="I23" s="10">
        <f>SUMIF(Detail!$C$5:$C$505,Summary!$B23,Detail!$I$5:$I$505)</f>
        <v>24160.59</v>
      </c>
      <c r="J23" s="10">
        <f t="shared" si="2"/>
        <v>185231.13</v>
      </c>
      <c r="K23" s="10"/>
      <c r="L23" s="10"/>
      <c r="M23" s="10">
        <f>SUMIF(Detail!$C$5:$C$505,Summary!$B23,Detail!$J$5:$J$505)</f>
        <v>0</v>
      </c>
      <c r="N23" s="10">
        <f>SUMIF(Detail!$C$5:$C$505,Summary!$B23,Detail!$K$5:$K$505)</f>
        <v>0</v>
      </c>
      <c r="O23" s="10">
        <f>SUMIF(Detail!$C$5:$C$505,Summary!$B23,Detail!$L$5:$L$505)</f>
        <v>0</v>
      </c>
      <c r="P23" s="10">
        <f>SUMIF(Detail!$C$5:$C$298, Summary!$B23, Detail!$M$5:$M$298)</f>
        <v>83441.53</v>
      </c>
      <c r="Q23" s="12">
        <f>SUMIF(Detail!$C$5:$C$298, Summary!$B23, Detail!$N$5:$N$298)</f>
        <v>0</v>
      </c>
      <c r="R23" s="13">
        <f t="shared" si="3"/>
        <v>2.9103830456733704E-11</v>
      </c>
      <c r="S23" s="13"/>
    </row>
    <row r="24" spans="1:19" x14ac:dyDescent="0.25">
      <c r="A24" s="16" t="s">
        <v>6</v>
      </c>
      <c r="B24" s="15" t="s">
        <v>31</v>
      </c>
      <c r="C24" s="9">
        <f>176597+15000-15000-30000-7000</f>
        <v>139597</v>
      </c>
      <c r="D24" s="9">
        <f>SUMIF(Detail!$C$5:$C$476,Summary!$B24,Detail!$F$5:$F$476)</f>
        <v>121380.83000000002</v>
      </c>
      <c r="E24" s="10">
        <f>SUMIF(Detail!$C$5:$C$476,Summary!$B24,Detail!$G$5:$G$476)</f>
        <v>18842.080000000002</v>
      </c>
      <c r="F24" s="11">
        <f t="shared" si="0"/>
        <v>1.004483692342959</v>
      </c>
      <c r="G24" s="72">
        <f t="shared" si="1"/>
        <v>26930.401499999993</v>
      </c>
      <c r="H24" s="10">
        <f>SUMIF(Detail!$C$5:$C$476,Summary!$B24,Detail!$H$5:$H$476)</f>
        <v>97970.950000000012</v>
      </c>
      <c r="I24" s="10">
        <f>SUMIF(Detail!$C$5:$C$505,Summary!$B24,Detail!$I$5:$I$505)</f>
        <v>14695.648499999999</v>
      </c>
      <c r="J24" s="10">
        <f t="shared" si="2"/>
        <v>112666.59850000001</v>
      </c>
      <c r="K24" s="10"/>
      <c r="L24" s="10"/>
      <c r="M24" s="10">
        <f>SUMIF(Detail!$C$5:$C$505,Summary!$B24,Detail!$J$5:$J$505)</f>
        <v>0</v>
      </c>
      <c r="N24" s="10">
        <f>SUMIF(Detail!$C$5:$C$505,Summary!$B24,Detail!$K$5:$K$505)</f>
        <v>1.4999999993960955E-3</v>
      </c>
      <c r="O24" s="10">
        <f>SUMIF(Detail!$C$5:$C$505,Summary!$B24,Detail!$L$5:$L$505)</f>
        <v>0</v>
      </c>
      <c r="P24" s="10">
        <f>SUMIF(Detail!$C$5:$C$298, Summary!$B24, Detail!$M$5:$M$298)</f>
        <v>27556.31</v>
      </c>
      <c r="Q24" s="12">
        <f>SUMIF(Detail!$C$5:$C$298, Summary!$B24, Detail!$N$5:$N$298)</f>
        <v>0</v>
      </c>
      <c r="R24" s="13">
        <f t="shared" si="3"/>
        <v>2.1827872842550278E-11</v>
      </c>
      <c r="S24" s="13"/>
    </row>
    <row r="25" spans="1:19" x14ac:dyDescent="0.25">
      <c r="A25" s="16" t="s">
        <v>107</v>
      </c>
      <c r="B25" s="15" t="s">
        <v>32</v>
      </c>
      <c r="C25" s="9">
        <v>78018</v>
      </c>
      <c r="D25" s="9">
        <f>SUMIF(Detail!$C$5:$C$476,Summary!$B25,Detail!$F$5:$F$476)</f>
        <v>49400.25</v>
      </c>
      <c r="E25" s="10">
        <f>SUMIF(Detail!$C$5:$C$476,Summary!$B25,Detail!$G$5:$G$476)</f>
        <v>27304.74</v>
      </c>
      <c r="F25" s="11">
        <f t="shared" si="0"/>
        <v>0.98317042221025919</v>
      </c>
      <c r="G25" s="72">
        <f t="shared" si="1"/>
        <v>21207.724000000002</v>
      </c>
      <c r="H25" s="10">
        <f>SUMIF(Detail!$C$5:$C$476,Summary!$B25,Detail!$H$5:$H$476)</f>
        <v>49400.25</v>
      </c>
      <c r="I25" s="10">
        <f>SUMIF(Detail!$C$5:$C$505,Summary!$B25,Detail!$I$5:$I$505)</f>
        <v>7410.0259999999989</v>
      </c>
      <c r="J25" s="10">
        <f t="shared" si="2"/>
        <v>56810.275999999998</v>
      </c>
      <c r="K25" s="10"/>
      <c r="L25" s="10"/>
      <c r="M25" s="10">
        <f>SUMIF(Detail!$C$5:$C$505,Summary!$B25,Detail!$J$5:$J$505)</f>
        <v>0</v>
      </c>
      <c r="N25" s="10">
        <f>SUMIF(Detail!$C$5:$C$505,Summary!$B25,Detail!$K$5:$K$505)</f>
        <v>19894.714</v>
      </c>
      <c r="O25" s="10">
        <f>SUMIF(Detail!$C$5:$C$505,Summary!$B25,Detail!$L$5:$L$505)</f>
        <v>0</v>
      </c>
      <c r="P25" s="10">
        <f>SUMIF(Detail!$C$5:$C$298, Summary!$B25, Detail!$M$5:$M$298)</f>
        <v>0</v>
      </c>
      <c r="Q25" s="12">
        <f>SUMIF(Detail!$C$5:$C$298, Summary!$B25, Detail!$N$5:$N$298)</f>
        <v>0</v>
      </c>
      <c r="R25" s="13">
        <f t="shared" si="3"/>
        <v>7.2759576141834259E-12</v>
      </c>
      <c r="S25" s="13"/>
    </row>
    <row r="26" spans="1:19" x14ac:dyDescent="0.25">
      <c r="A26" s="16" t="s">
        <v>6</v>
      </c>
      <c r="B26" s="15" t="s">
        <v>33</v>
      </c>
      <c r="C26" s="9">
        <f>259138-2-50000-50000-35000-50</f>
        <v>124086</v>
      </c>
      <c r="D26" s="9">
        <f>SUMIF(Detail!$C$5:$C$476,Summary!$B26,Detail!$F$5:$F$476)</f>
        <v>107896.20999999999</v>
      </c>
      <c r="E26" s="10">
        <f>SUMIF(Detail!$C$5:$C$476,Summary!$B26,Detail!$G$5:$G$476)</f>
        <v>16814.45</v>
      </c>
      <c r="F26" s="11">
        <f t="shared" si="0"/>
        <v>1.0050340892606739</v>
      </c>
      <c r="G26" s="72">
        <f t="shared" si="1"/>
        <v>29292.25</v>
      </c>
      <c r="H26" s="10">
        <f>SUMIF(Detail!$C$5:$C$476,Summary!$B26,Detail!$H$5:$H$476)</f>
        <v>82429.34</v>
      </c>
      <c r="I26" s="10">
        <f>SUMIF(Detail!$C$5:$C$505,Summary!$B26,Detail!$I$5:$I$505)</f>
        <v>12364.41</v>
      </c>
      <c r="J26" s="10">
        <f t="shared" si="2"/>
        <v>94793.75</v>
      </c>
      <c r="K26" s="10"/>
      <c r="L26" s="10"/>
      <c r="M26" s="10">
        <f>SUMIF(Detail!$C$5:$C$505,Summary!$B26,Detail!$J$5:$J$505)</f>
        <v>0</v>
      </c>
      <c r="N26" s="10">
        <f>SUMIF(Detail!$C$5:$C$505,Summary!$B26,Detail!$K$5:$K$505)</f>
        <v>0</v>
      </c>
      <c r="O26" s="10">
        <f>SUMIF(Detail!$C$5:$C$505,Summary!$B26,Detail!$L$5:$L$505)</f>
        <v>0</v>
      </c>
      <c r="P26" s="10">
        <f>SUMIF(Detail!$C$5:$C$298, Summary!$B26, Detail!$M$5:$M$298)</f>
        <v>29916.91</v>
      </c>
      <c r="Q26" s="12">
        <f>SUMIF(Detail!$C$5:$C$298, Summary!$B26, Detail!$N$5:$N$298)</f>
        <v>0</v>
      </c>
      <c r="R26" s="13">
        <f t="shared" si="3"/>
        <v>-7.2759576141834259E-12</v>
      </c>
      <c r="S26" s="13"/>
    </row>
    <row r="27" spans="1:19" x14ac:dyDescent="0.25">
      <c r="A27" s="16" t="s">
        <v>6</v>
      </c>
      <c r="B27" s="15" t="s">
        <v>34</v>
      </c>
      <c r="C27" s="9">
        <f>165704+25000+50000-3740</f>
        <v>236964</v>
      </c>
      <c r="D27" s="9">
        <f>SUMIF(Detail!$C$5:$C$476,Summary!$B27,Detail!$F$5:$F$476)</f>
        <v>206054.74</v>
      </c>
      <c r="E27" s="10">
        <f>SUMIF(Detail!$C$5:$C$476,Summary!$B27,Detail!$G$5:$G$476)</f>
        <v>31505.41</v>
      </c>
      <c r="F27" s="11">
        <f t="shared" si="0"/>
        <v>1.0025157829881333</v>
      </c>
      <c r="G27" s="72">
        <f t="shared" si="1"/>
        <v>47379.920000000013</v>
      </c>
      <c r="H27" s="10">
        <f>SUMIF(Detail!$C$5:$C$476,Summary!$B27,Detail!$H$5:$H$476)</f>
        <v>164856.41999999998</v>
      </c>
      <c r="I27" s="10">
        <f>SUMIF(Detail!$C$5:$C$505,Summary!$B27,Detail!$I$5:$I$505)</f>
        <v>24727.66</v>
      </c>
      <c r="J27" s="10">
        <f t="shared" si="2"/>
        <v>189584.08</v>
      </c>
      <c r="K27" s="10"/>
      <c r="L27" s="10"/>
      <c r="M27" s="10">
        <f>SUMIF(Detail!$C$5:$C$505,Summary!$B27,Detail!$J$5:$J$505)</f>
        <v>0</v>
      </c>
      <c r="N27" s="10">
        <f>SUMIF(Detail!$C$5:$C$505,Summary!$B27,Detail!$K$5:$K$505)</f>
        <v>0</v>
      </c>
      <c r="O27" s="10">
        <f>SUMIF(Detail!$C$5:$C$505,Summary!$B27,Detail!$L$5:$L$505)</f>
        <v>0</v>
      </c>
      <c r="P27" s="10">
        <f>SUMIF(Detail!$C$5:$C$298, Summary!$B27, Detail!$M$5:$M$298)</f>
        <v>47976.07</v>
      </c>
      <c r="Q27" s="12">
        <f>SUMIF(Detail!$C$5:$C$298, Summary!$B27, Detail!$N$5:$N$298)</f>
        <v>0</v>
      </c>
      <c r="R27" s="13">
        <f t="shared" si="3"/>
        <v>7.2759576141834259E-12</v>
      </c>
      <c r="S27" s="13"/>
    </row>
    <row r="28" spans="1:19" s="1" customFormat="1" x14ac:dyDescent="0.25">
      <c r="A28" s="14" t="s">
        <v>35</v>
      </c>
      <c r="B28" s="15" t="s">
        <v>108</v>
      </c>
      <c r="C28" s="9">
        <f>178225+30000+6202.24</f>
        <v>214427.24</v>
      </c>
      <c r="D28" s="9">
        <f>SUMIF(Detail!$C$5:$C$476,Summary!$B28,Detail!$F$5:$F$476)</f>
        <v>196748.13</v>
      </c>
      <c r="E28" s="10">
        <f>SUMIF(Detail!$C$5:$C$476,Summary!$B28,Detail!$G$5:$G$476)</f>
        <v>17679.11</v>
      </c>
      <c r="F28" s="11">
        <f t="shared" si="0"/>
        <v>1</v>
      </c>
      <c r="G28" s="72">
        <f t="shared" si="1"/>
        <v>55947.809999999969</v>
      </c>
      <c r="H28" s="10">
        <f>SUMIF(Detail!$C$5:$C$476,Summary!$B28,Detail!$H$5:$H$476)</f>
        <v>145490.14000000001</v>
      </c>
      <c r="I28" s="10">
        <f>SUMIF(Detail!$C$5:$C$505,Summary!$B28,Detail!$I$5:$I$505)</f>
        <v>12989.289999999999</v>
      </c>
      <c r="J28" s="10">
        <f t="shared" si="2"/>
        <v>158479.43000000002</v>
      </c>
      <c r="K28" s="10"/>
      <c r="L28" s="10"/>
      <c r="M28" s="10">
        <f>SUMIF(Detail!$C$5:$C$505,Summary!$B28,Detail!$J$5:$J$505)</f>
        <v>55947.81</v>
      </c>
      <c r="N28" s="10">
        <f>SUMIF(Detail!$C$5:$C$505,Summary!$B28,Detail!$K$5:$K$505)</f>
        <v>0</v>
      </c>
      <c r="O28" s="10">
        <f>SUMIF(Detail!$C$5:$C$505,Summary!$B28,Detail!$L$5:$L$505)</f>
        <v>0</v>
      </c>
      <c r="P28" s="10">
        <f>SUMIF(Detail!$C$5:$C$298, Summary!$B28, Detail!$M$5:$M$298)</f>
        <v>0</v>
      </c>
      <c r="Q28" s="12">
        <f>SUMIF(Detail!$C$5:$C$298, Summary!$B28, Detail!$N$5:$N$298)</f>
        <v>0</v>
      </c>
      <c r="R28" s="13">
        <f t="shared" si="3"/>
        <v>-2.1827872842550278E-11</v>
      </c>
      <c r="S28" s="13"/>
    </row>
    <row r="29" spans="1:19" s="1" customFormat="1" x14ac:dyDescent="0.25">
      <c r="A29" s="14" t="s">
        <v>6</v>
      </c>
      <c r="B29" s="15" t="s">
        <v>109</v>
      </c>
      <c r="C29" s="9">
        <f>113069+6020</f>
        <v>119089</v>
      </c>
      <c r="D29" s="9">
        <f>SUMIF(Detail!$C$5:$C$476,Summary!$B29,Detail!$F$5:$F$476)</f>
        <v>103546.98999999999</v>
      </c>
      <c r="E29" s="10">
        <f>SUMIF(Detail!$C$5:$C$476,Summary!$B29,Detail!$G$5:$G$476)</f>
        <v>16161.56</v>
      </c>
      <c r="F29" s="11">
        <f t="shared" si="0"/>
        <v>1.0052024116417133</v>
      </c>
      <c r="G29" s="72">
        <f t="shared" si="1"/>
        <v>31783.789999999994</v>
      </c>
      <c r="H29" s="10">
        <f>SUMIF(Detail!$C$5:$C$476,Summary!$B29,Detail!$H$5:$H$476)</f>
        <v>75917.58</v>
      </c>
      <c r="I29" s="10">
        <f>SUMIF(Detail!$C$5:$C$505,Summary!$B29,Detail!$I$5:$I$505)</f>
        <v>11387.630000000001</v>
      </c>
      <c r="J29" s="10">
        <f t="shared" si="2"/>
        <v>87305.21</v>
      </c>
      <c r="K29" s="10"/>
      <c r="L29" s="10"/>
      <c r="M29" s="10">
        <f>SUMIF(Detail!$C$5:$C$505,Summary!$B29,Detail!$J$5:$J$505)</f>
        <v>0</v>
      </c>
      <c r="N29" s="10">
        <f>SUMIF(Detail!$C$5:$C$505,Summary!$B29,Detail!$K$5:$K$505)</f>
        <v>1.0000000000218279E-2</v>
      </c>
      <c r="O29" s="10">
        <f>SUMIF(Detail!$C$5:$C$505,Summary!$B29,Detail!$L$5:$L$505)</f>
        <v>0</v>
      </c>
      <c r="P29" s="10">
        <f>SUMIF(Detail!$C$5:$C$298, Summary!$B29, Detail!$M$5:$M$298)</f>
        <v>32403.329999999994</v>
      </c>
      <c r="Q29" s="12">
        <f>SUMIF(Detail!$C$5:$C$298, Summary!$B29, Detail!$N$5:$N$298)</f>
        <v>0</v>
      </c>
      <c r="R29" s="13">
        <f t="shared" si="3"/>
        <v>-7.2759576141834259E-12</v>
      </c>
      <c r="S29" s="13"/>
    </row>
    <row r="30" spans="1:19" s="81" customFormat="1" x14ac:dyDescent="0.25">
      <c r="A30" s="73" t="s">
        <v>6</v>
      </c>
      <c r="B30" s="74" t="s">
        <v>36</v>
      </c>
      <c r="C30" s="75">
        <f>71771-15000-20000+10000-4110</f>
        <v>42661</v>
      </c>
      <c r="D30" s="75">
        <f>SUMIF(Detail!$C$5:$C$476,Summary!$B30,Detail!$F$5:$F$476)</f>
        <v>37093.93</v>
      </c>
      <c r="E30" s="76">
        <f>SUMIF(Detail!$C$5:$C$476,Summary!$B30,Detail!$G$5:$G$476)</f>
        <v>6220.59</v>
      </c>
      <c r="F30" s="77">
        <f t="shared" si="0"/>
        <v>1.0153189095426738</v>
      </c>
      <c r="G30" s="78">
        <f t="shared" si="1"/>
        <v>19388.150000000001</v>
      </c>
      <c r="H30" s="76">
        <f>SUMIF(Detail!$C$5:$C$476,Summary!$B30,Detail!$H$5:$H$476)</f>
        <v>20237.27</v>
      </c>
      <c r="I30" s="76">
        <f>SUMIF(Detail!$C$5:$C$505,Summary!$B30,Detail!$I$5:$I$505)</f>
        <v>3035.58</v>
      </c>
      <c r="J30" s="76">
        <f t="shared" si="2"/>
        <v>23272.85</v>
      </c>
      <c r="K30" s="76"/>
      <c r="L30" s="76"/>
      <c r="M30" s="76">
        <f>SUMIF(Detail!$C$5:$C$505,Summary!$B30,Detail!$J$5:$J$505)</f>
        <v>0</v>
      </c>
      <c r="N30" s="76">
        <f>SUMIF(Detail!$C$5:$C$505,Summary!$B30,Detail!$K$5:$K$505)</f>
        <v>0</v>
      </c>
      <c r="O30" s="76">
        <f>SUMIF(Detail!$C$5:$C$505,Summary!$B30,Detail!$L$5:$L$505)</f>
        <v>0</v>
      </c>
      <c r="P30" s="76">
        <f>SUMIF(Detail!$C$5:$C$298, Summary!$B30, Detail!$M$5:$M$298)</f>
        <v>20041.669999999998</v>
      </c>
      <c r="Q30" s="79">
        <f>SUMIF(Detail!$C$5:$C$298, Summary!$B30, Detail!$N$5:$N$298)</f>
        <v>0</v>
      </c>
      <c r="R30" s="80">
        <f t="shared" si="3"/>
        <v>7.2759576141834259E-12</v>
      </c>
      <c r="S30" s="80"/>
    </row>
    <row r="31" spans="1:19" x14ac:dyDescent="0.25">
      <c r="A31" s="14" t="s">
        <v>37</v>
      </c>
      <c r="B31" s="15" t="s">
        <v>38</v>
      </c>
      <c r="C31" s="9">
        <f>261672-65000</f>
        <v>196672</v>
      </c>
      <c r="D31" s="9">
        <f>SUMIF(Detail!$C$5:$C$476,Summary!$B31,Detail!$F$5:$F$476)</f>
        <v>148734.99</v>
      </c>
      <c r="E31" s="10">
        <f>SUMIF(Detail!$C$5:$C$476,Summary!$B31,Detail!$G$5:$G$476)</f>
        <v>29182.71</v>
      </c>
      <c r="F31" s="11">
        <f t="shared" si="0"/>
        <v>0.90464173852912455</v>
      </c>
      <c r="G31" s="72">
        <f t="shared" si="1"/>
        <v>25626.78</v>
      </c>
      <c r="H31" s="10">
        <f>SUMIF(Detail!$C$5:$C$476,Summary!$B31,Detail!$H$5:$H$476)</f>
        <v>148734.99</v>
      </c>
      <c r="I31" s="10">
        <f>SUMIF(Detail!$C$5:$C$505,Summary!$B31,Detail!$I$5:$I$505)</f>
        <v>22310.23</v>
      </c>
      <c r="J31" s="10">
        <f t="shared" si="2"/>
        <v>171045.22</v>
      </c>
      <c r="K31" s="10"/>
      <c r="L31" s="10"/>
      <c r="M31" s="10">
        <f>SUMIF(Detail!$C$5:$C$505,Summary!$B31,Detail!$J$5:$J$505)</f>
        <v>0</v>
      </c>
      <c r="N31" s="10">
        <f>SUMIF(Detail!$C$5:$C$505,Summary!$B31,Detail!$K$5:$K$505)</f>
        <v>6872.48</v>
      </c>
      <c r="O31" s="10">
        <f>SUMIF(Detail!$C$5:$C$505,Summary!$B31,Detail!$L$5:$L$505)</f>
        <v>0</v>
      </c>
      <c r="P31" s="10">
        <f>SUMIF(Detail!$C$5:$C$298, Summary!$B31, Detail!$M$5:$M$298)</f>
        <v>0</v>
      </c>
      <c r="Q31" s="12">
        <f>SUMIF(Detail!$C$5:$C$298, Summary!$B31, Detail!$N$5:$N$298)</f>
        <v>0</v>
      </c>
      <c r="R31" s="13">
        <f t="shared" si="3"/>
        <v>-7.2759576141834259E-12</v>
      </c>
      <c r="S31" s="13"/>
    </row>
    <row r="32" spans="1:19" s="1" customFormat="1" x14ac:dyDescent="0.25">
      <c r="A32" s="14" t="s">
        <v>39</v>
      </c>
      <c r="B32" s="15" t="s">
        <v>110</v>
      </c>
      <c r="C32" s="9">
        <f>65954-10000</f>
        <v>55954</v>
      </c>
      <c r="D32" s="9">
        <f>SUMIF(Detail!$C$5:$C$476,Summary!$B32,Detail!$F$5:$F$476)</f>
        <v>43162.57</v>
      </c>
      <c r="E32" s="10">
        <f>SUMIF(Detail!$C$5:$C$476,Summary!$B32,Detail!$G$5:$G$476)</f>
        <v>7769</v>
      </c>
      <c r="F32" s="11">
        <f t="shared" si="0"/>
        <v>0.91024001858669623</v>
      </c>
      <c r="G32" s="72">
        <f t="shared" si="1"/>
        <v>6317.0424999999959</v>
      </c>
      <c r="H32" s="10">
        <f>SUMIF(Detail!$C$5:$C$476,Summary!$B32,Detail!$H$5:$H$476)</f>
        <v>43162.57</v>
      </c>
      <c r="I32" s="10">
        <f>SUMIF(Detail!$C$5:$C$505,Summary!$B32,Detail!$I$5:$I$505)</f>
        <v>6474.3875000000007</v>
      </c>
      <c r="J32" s="10">
        <f t="shared" si="2"/>
        <v>49636.957500000004</v>
      </c>
      <c r="K32" s="10"/>
      <c r="L32" s="10"/>
      <c r="M32" s="10">
        <f>SUMIF(Detail!$C$5:$C$505,Summary!$B32,Detail!$J$5:$J$505)</f>
        <v>0</v>
      </c>
      <c r="N32" s="10">
        <f>SUMIF(Detail!$C$5:$C$505,Summary!$B32,Detail!$K$5:$K$505)</f>
        <v>1294.6125</v>
      </c>
      <c r="O32" s="10">
        <f>SUMIF(Detail!$C$5:$C$505,Summary!$B32,Detail!$L$5:$L$505)</f>
        <v>0</v>
      </c>
      <c r="P32" s="10">
        <f>SUMIF(Detail!$C$5:$C$298, Summary!$B32, Detail!$M$5:$M$298)</f>
        <v>0</v>
      </c>
      <c r="Q32" s="12">
        <f>SUMIF(Detail!$C$5:$C$298, Summary!$B32, Detail!$N$5:$N$298)</f>
        <v>0</v>
      </c>
      <c r="R32" s="13">
        <f t="shared" si="3"/>
        <v>-6.8212102632969618E-13</v>
      </c>
      <c r="S32" s="13"/>
    </row>
    <row r="33" spans="1:19" s="1" customFormat="1" x14ac:dyDescent="0.25">
      <c r="A33" s="14" t="s">
        <v>40</v>
      </c>
      <c r="B33" s="15" t="s">
        <v>41</v>
      </c>
      <c r="C33" s="9">
        <v>89966</v>
      </c>
      <c r="D33" s="9">
        <f>SUMIF(Detail!$C$5:$C$476,Summary!$B33,Detail!$F$5:$F$476)</f>
        <v>61650.97</v>
      </c>
      <c r="E33" s="10">
        <f>SUMIF(Detail!$C$5:$C$476,Summary!$B33,Detail!$G$5:$G$476)</f>
        <v>4673.1100000000006</v>
      </c>
      <c r="F33" s="11">
        <f t="shared" si="0"/>
        <v>0.73721272480714939</v>
      </c>
      <c r="G33" s="72">
        <f t="shared" si="1"/>
        <v>35941.289999999994</v>
      </c>
      <c r="H33" s="10">
        <f>SUMIF(Detail!$C$5:$C$476,Summary!$B33,Detail!$H$5:$H$476)</f>
        <v>50776.600000000006</v>
      </c>
      <c r="I33" s="10">
        <f>SUMIF(Detail!$C$5:$C$505,Summary!$B33,Detail!$I$5:$I$505)</f>
        <v>3248.11</v>
      </c>
      <c r="J33" s="10">
        <f t="shared" si="2"/>
        <v>54024.710000000006</v>
      </c>
      <c r="K33" s="10"/>
      <c r="L33" s="10"/>
      <c r="M33" s="10">
        <f>SUMIF(Detail!$C$5:$C$505,Summary!$B33,Detail!$J$5:$J$505)</f>
        <v>0</v>
      </c>
      <c r="N33" s="10">
        <f>SUMIF(Detail!$C$5:$C$505,Summary!$B33,Detail!$K$5:$K$505)</f>
        <v>0</v>
      </c>
      <c r="O33" s="10">
        <f>SUMIF(Detail!$C$5:$C$505,Summary!$B33,Detail!$L$5:$L$505)</f>
        <v>0</v>
      </c>
      <c r="P33" s="10">
        <f>SUMIF(Detail!$C$5:$C$298, Summary!$B33, Detail!$M$5:$M$298)</f>
        <v>12299.369999999999</v>
      </c>
      <c r="Q33" s="12">
        <f>SUMIF(Detail!$C$5:$C$298, Summary!$B33, Detail!$N$5:$N$298)</f>
        <v>0</v>
      </c>
      <c r="R33" s="13">
        <f t="shared" si="3"/>
        <v>-3.637978807091713E-12</v>
      </c>
      <c r="S33" s="13"/>
    </row>
    <row r="34" spans="1:19" s="1" customFormat="1" x14ac:dyDescent="0.25">
      <c r="A34" s="14" t="s">
        <v>42</v>
      </c>
      <c r="B34" s="15" t="s">
        <v>111</v>
      </c>
      <c r="C34" s="9">
        <v>78045</v>
      </c>
      <c r="D34" s="9">
        <f>SUMIF(Detail!$C$5:$C$476,Summary!$B34,Detail!$F$5:$F$476)</f>
        <v>31768.35</v>
      </c>
      <c r="E34" s="10">
        <f>SUMIF(Detail!$C$5:$C$476,Summary!$B34,Detail!$G$5:$G$476)</f>
        <v>7028.3800000000019</v>
      </c>
      <c r="F34" s="11">
        <f t="shared" si="0"/>
        <v>0.49710718175411628</v>
      </c>
      <c r="G34" s="72">
        <f t="shared" si="1"/>
        <v>41511.4</v>
      </c>
      <c r="H34" s="10">
        <f>SUMIF(Detail!$C$5:$C$476,Summary!$B34,Detail!$H$5:$H$476)</f>
        <v>31768.35</v>
      </c>
      <c r="I34" s="10">
        <f>SUMIF(Detail!$C$5:$C$505,Summary!$B34,Detail!$I$5:$I$505)</f>
        <v>4765.25</v>
      </c>
      <c r="J34" s="10">
        <f t="shared" si="2"/>
        <v>36533.599999999999</v>
      </c>
      <c r="K34" s="10"/>
      <c r="L34" s="10"/>
      <c r="M34" s="10">
        <f>SUMIF(Detail!$C$5:$C$505,Summary!$B34,Detail!$J$5:$J$505)</f>
        <v>0</v>
      </c>
      <c r="N34" s="10">
        <f>SUMIF(Detail!$C$5:$C$505,Summary!$B34,Detail!$K$5:$K$505)</f>
        <v>2263.13</v>
      </c>
      <c r="O34" s="10">
        <f>SUMIF(Detail!$C$5:$C$505,Summary!$B34,Detail!$L$5:$L$505)</f>
        <v>0</v>
      </c>
      <c r="P34" s="10">
        <f>SUMIF(Detail!$C$5:$C$298, Summary!$B34, Detail!$M$5:$M$298)</f>
        <v>0</v>
      </c>
      <c r="Q34" s="12">
        <f>SUMIF(Detail!$C$5:$C$298, Summary!$B34, Detail!$N$5:$N$298)</f>
        <v>0</v>
      </c>
      <c r="R34" s="13">
        <f t="shared" si="3"/>
        <v>4.5474735088646412E-12</v>
      </c>
      <c r="S34" s="13"/>
    </row>
    <row r="35" spans="1:19" x14ac:dyDescent="0.25">
      <c r="A35" s="16" t="s">
        <v>43</v>
      </c>
      <c r="B35" s="15" t="s">
        <v>112</v>
      </c>
      <c r="C35" s="9">
        <f>238808-30000</f>
        <v>208808</v>
      </c>
      <c r="D35" s="9">
        <f>SUMIF(Detail!$C$5:$C$476,Summary!$B35,Detail!$F$5:$F$476)</f>
        <v>155008.56</v>
      </c>
      <c r="E35" s="10">
        <f>SUMIF(Detail!$C$5:$C$476,Summary!$B35,Detail!$G$5:$G$476)</f>
        <v>23084.1</v>
      </c>
      <c r="F35" s="11">
        <f t="shared" si="0"/>
        <v>0.85290151718324969</v>
      </c>
      <c r="G35" s="72">
        <f t="shared" si="1"/>
        <v>127874.62</v>
      </c>
      <c r="H35" s="10">
        <f>SUMIF(Detail!$C$5:$C$476,Summary!$B35,Detail!$H$5:$H$476)</f>
        <v>70427.78</v>
      </c>
      <c r="I35" s="10">
        <f>SUMIF(Detail!$C$5:$C$505,Summary!$B35,Detail!$I$5:$I$505)</f>
        <v>10505.6</v>
      </c>
      <c r="J35" s="10">
        <f t="shared" si="2"/>
        <v>80933.38</v>
      </c>
      <c r="K35" s="10"/>
      <c r="L35" s="10"/>
      <c r="M35" s="10">
        <f>SUMIF(Detail!$C$5:$C$505,Summary!$B35,Detail!$J$5:$J$505)</f>
        <v>97159.28</v>
      </c>
      <c r="N35" s="10">
        <f>SUMIF(Detail!$C$5:$C$505,Summary!$B35,Detail!$K$5:$K$505)</f>
        <v>0</v>
      </c>
      <c r="O35" s="10">
        <f>SUMIF(Detail!$C$5:$C$505,Summary!$B35,Detail!$L$5:$L$505)</f>
        <v>0</v>
      </c>
      <c r="P35" s="10">
        <f>SUMIF(Detail!$C$5:$C$298, Summary!$B35, Detail!$M$5:$M$298)</f>
        <v>0</v>
      </c>
      <c r="Q35" s="12">
        <f>SUMIF(Detail!$C$5:$C$298, Summary!$B35, Detail!$N$5:$N$298)</f>
        <v>0</v>
      </c>
      <c r="R35" s="13">
        <f t="shared" si="3"/>
        <v>0</v>
      </c>
      <c r="S35" s="13"/>
    </row>
    <row r="36" spans="1:19" x14ac:dyDescent="0.25">
      <c r="A36" s="16" t="s">
        <v>6</v>
      </c>
      <c r="B36" s="15" t="s">
        <v>44</v>
      </c>
      <c r="C36" s="9">
        <f>93948+10000+25000-10000-8080</f>
        <v>110868</v>
      </c>
      <c r="D36" s="9">
        <f>SUMIF(Detail!$C$5:$C$476,Summary!$B36,Detail!$F$5:$F$476)</f>
        <v>96403.37999999999</v>
      </c>
      <c r="E36" s="10">
        <f>SUMIF(Detail!$C$5:$C$476,Summary!$B36,Detail!$G$5:$G$476)</f>
        <v>15128.400000000001</v>
      </c>
      <c r="F36" s="11">
        <f t="shared" si="0"/>
        <v>1.005987119818162</v>
      </c>
      <c r="G36" s="72">
        <f t="shared" si="1"/>
        <v>14026.040000000008</v>
      </c>
      <c r="H36" s="10">
        <f>SUMIF(Detail!$C$5:$C$476,Summary!$B36,Detail!$H$5:$H$476)</f>
        <v>84210.4</v>
      </c>
      <c r="I36" s="10">
        <f>SUMIF(Detail!$C$5:$C$505,Summary!$B36,Detail!$I$5:$I$505)</f>
        <v>12631.560000000001</v>
      </c>
      <c r="J36" s="10">
        <f t="shared" si="2"/>
        <v>96841.959999999992</v>
      </c>
      <c r="K36" s="10"/>
      <c r="L36" s="10"/>
      <c r="M36" s="10">
        <f>SUMIF(Detail!$C$5:$C$505,Summary!$B36,Detail!$J$5:$J$505)</f>
        <v>0</v>
      </c>
      <c r="N36" s="10">
        <f>SUMIF(Detail!$C$5:$C$505,Summary!$B36,Detail!$K$5:$K$505)</f>
        <v>0</v>
      </c>
      <c r="O36" s="10">
        <f>SUMIF(Detail!$C$5:$C$505,Summary!$B36,Detail!$L$5:$L$505)</f>
        <v>0</v>
      </c>
      <c r="P36" s="10">
        <f>SUMIF(Detail!$C$5:$C$298, Summary!$B36, Detail!$M$5:$M$298)</f>
        <v>14689.82</v>
      </c>
      <c r="Q36" s="12">
        <f>SUMIF(Detail!$C$5:$C$298, Summary!$B36, Detail!$N$5:$N$298)</f>
        <v>0</v>
      </c>
      <c r="R36" s="13">
        <f t="shared" si="3"/>
        <v>3.637978807091713E-12</v>
      </c>
      <c r="S36" s="13"/>
    </row>
    <row r="37" spans="1:19" s="1" customFormat="1" x14ac:dyDescent="0.25">
      <c r="A37" s="14" t="s">
        <v>6</v>
      </c>
      <c r="B37" s="15" t="s">
        <v>45</v>
      </c>
      <c r="C37" s="9">
        <f>110930+25000+10000-470</f>
        <v>145460</v>
      </c>
      <c r="D37" s="9">
        <f>SUMIF(Detail!$C$5:$C$476,Summary!$B37,Detail!$F$5:$F$476)</f>
        <v>126481.66</v>
      </c>
      <c r="E37" s="10">
        <f>SUMIF(Detail!$C$5:$C$476,Summary!$B37,Detail!$G$5:$G$476)</f>
        <v>19609.47</v>
      </c>
      <c r="F37" s="11">
        <f t="shared" si="0"/>
        <v>1.0043388560428985</v>
      </c>
      <c r="G37" s="72">
        <f t="shared" si="1"/>
        <v>28849.87000000001</v>
      </c>
      <c r="H37" s="10">
        <f>SUMIF(Detail!$C$5:$C$476,Summary!$B37,Detail!$H$5:$H$476)</f>
        <v>101400.12</v>
      </c>
      <c r="I37" s="10">
        <f>SUMIF(Detail!$C$5:$C$505,Summary!$B37,Detail!$I$5:$I$505)</f>
        <v>15210.01</v>
      </c>
      <c r="J37" s="10">
        <f t="shared" si="2"/>
        <v>116610.12999999999</v>
      </c>
      <c r="K37" s="10"/>
      <c r="L37" s="10"/>
      <c r="M37" s="10">
        <f>SUMIF(Detail!$C$5:$C$505,Summary!$B37,Detail!$J$5:$J$505)</f>
        <v>0</v>
      </c>
      <c r="N37" s="10">
        <f>SUMIF(Detail!$C$5:$C$505,Summary!$B37,Detail!$K$5:$K$505)</f>
        <v>0</v>
      </c>
      <c r="O37" s="10">
        <f>SUMIF(Detail!$C$5:$C$505,Summary!$B37,Detail!$L$5:$L$505)</f>
        <v>0</v>
      </c>
      <c r="P37" s="10">
        <f>SUMIF(Detail!$C$5:$C$298, Summary!$B37, Detail!$M$5:$M$298)</f>
        <v>29481</v>
      </c>
      <c r="Q37" s="12">
        <f>SUMIF(Detail!$C$5:$C$298, Summary!$B37, Detail!$N$5:$N$298)</f>
        <v>0</v>
      </c>
      <c r="R37" s="13">
        <f t="shared" si="3"/>
        <v>7.2759576141834259E-12</v>
      </c>
      <c r="S37" s="13"/>
    </row>
    <row r="38" spans="1:19" s="1" customFormat="1" x14ac:dyDescent="0.25">
      <c r="A38" s="14" t="s">
        <v>20</v>
      </c>
      <c r="B38" s="15" t="s">
        <v>46</v>
      </c>
      <c r="C38" s="9">
        <f>467235-50000-20000</f>
        <v>397235</v>
      </c>
      <c r="D38" s="9">
        <f>SUMIF(Detail!$C$5:$C$476,Summary!$B38,Detail!$F$5:$F$476)</f>
        <v>296484.8</v>
      </c>
      <c r="E38" s="10">
        <f>SUMIF(Detail!$C$5:$C$476,Summary!$B38,Detail!$G$5:$G$476)</f>
        <v>63751.229999999996</v>
      </c>
      <c r="F38" s="11">
        <f t="shared" si="0"/>
        <v>0.90685873601268763</v>
      </c>
      <c r="G38" s="72">
        <f t="shared" si="1"/>
        <v>168583.36300000001</v>
      </c>
      <c r="H38" s="10">
        <f>SUMIF(Detail!$C$5:$C$476,Summary!$B38,Detail!$H$5:$H$476)</f>
        <v>198827.50999999998</v>
      </c>
      <c r="I38" s="10">
        <f>SUMIF(Detail!$C$5:$C$505,Summary!$B38,Detail!$I$5:$I$505)</f>
        <v>29824.127</v>
      </c>
      <c r="J38" s="10">
        <f t="shared" si="2"/>
        <v>228651.63699999999</v>
      </c>
      <c r="K38" s="10"/>
      <c r="L38" s="10"/>
      <c r="M38" s="10">
        <f>SUMIF(Detail!$C$5:$C$505,Summary!$B38,Detail!$J$5:$J$505)</f>
        <v>112336.24</v>
      </c>
      <c r="N38" s="10">
        <f>SUMIF(Detail!$C$5:$C$505,Summary!$B38,Detail!$K$5:$K$505)</f>
        <v>19248.152999999998</v>
      </c>
      <c r="O38" s="10">
        <f>SUMIF(Detail!$C$5:$C$505,Summary!$B38,Detail!$L$5:$L$505)</f>
        <v>0</v>
      </c>
      <c r="P38" s="10">
        <f>SUMIF(Detail!$C$5:$C$298, Summary!$B38, Detail!$M$5:$M$298)</f>
        <v>0</v>
      </c>
      <c r="Q38" s="12">
        <f>SUMIF(Detail!$C$5:$C$298, Summary!$B38, Detail!$N$5:$N$298)</f>
        <v>0</v>
      </c>
      <c r="R38" s="13">
        <f t="shared" si="3"/>
        <v>-2.1827872842550278E-11</v>
      </c>
      <c r="S38" s="13"/>
    </row>
    <row r="39" spans="1:19" s="1" customFormat="1" x14ac:dyDescent="0.25">
      <c r="A39" s="14" t="s">
        <v>6</v>
      </c>
      <c r="B39" s="15" t="s">
        <v>48</v>
      </c>
      <c r="C39" s="9">
        <f>294776-35000+2440</f>
        <v>262216</v>
      </c>
      <c r="D39" s="9">
        <f>SUMIF(Detail!$C$5:$C$476,Summary!$B39,Detail!$F$5:$F$476)</f>
        <v>228006.20999999996</v>
      </c>
      <c r="E39" s="10">
        <f>SUMIF(Detail!$C$5:$C$476,Summary!$B39,Detail!$G$5:$G$476)</f>
        <v>43308.61</v>
      </c>
      <c r="F39" s="11">
        <f t="shared" si="0"/>
        <v>1.0346997132135336</v>
      </c>
      <c r="G39" s="72">
        <f t="shared" si="1"/>
        <v>94575.610000000015</v>
      </c>
      <c r="H39" s="10">
        <f>SUMIF(Detail!$C$5:$C$476,Summary!$B39,Detail!$H$5:$H$476)</f>
        <v>150830.40999999997</v>
      </c>
      <c r="I39" s="10">
        <f>SUMIF(Detail!$C$5:$C$505,Summary!$B39,Detail!$I$5:$I$505)</f>
        <v>16809.98</v>
      </c>
      <c r="J39" s="10">
        <f t="shared" si="2"/>
        <v>167640.38999999998</v>
      </c>
      <c r="K39" s="10"/>
      <c r="L39" s="10"/>
      <c r="M39" s="10">
        <f>SUMIF(Detail!$C$5:$C$505,Summary!$B39,Detail!$J$5:$J$505)</f>
        <v>77175.8</v>
      </c>
      <c r="N39" s="10">
        <f>SUMIF(Detail!$C$5:$C$505,Summary!$B39,Detail!$K$5:$K$505)</f>
        <v>26498.630000000005</v>
      </c>
      <c r="O39" s="10">
        <f>SUMIF(Detail!$C$5:$C$505,Summary!$B39,Detail!$L$5:$L$505)</f>
        <v>0</v>
      </c>
      <c r="P39" s="10">
        <f>SUMIF(Detail!$C$5:$C$298, Summary!$B39, Detail!$M$5:$M$298)</f>
        <v>0</v>
      </c>
      <c r="Q39" s="12">
        <f>SUMIF(Detail!$C$5:$C$298, Summary!$B39, Detail!$N$5:$N$298)</f>
        <v>0</v>
      </c>
      <c r="R39" s="13">
        <f t="shared" si="3"/>
        <v>-2.9103830456733704E-11</v>
      </c>
      <c r="S39" s="13"/>
    </row>
    <row r="40" spans="1:19" x14ac:dyDescent="0.25">
      <c r="A40" s="16" t="s">
        <v>49</v>
      </c>
      <c r="B40" s="15" t="s">
        <v>50</v>
      </c>
      <c r="C40" s="9">
        <f>132439-52000</f>
        <v>80439</v>
      </c>
      <c r="D40" s="9">
        <f>SUMIF(Detail!$C$5:$C$476,Summary!$B40,Detail!$F$5:$F$476)</f>
        <v>54680.18</v>
      </c>
      <c r="E40" s="10">
        <f>SUMIF(Detail!$C$5:$C$476,Summary!$B40,Detail!$G$5:$G$476)</f>
        <v>8206.4600000000009</v>
      </c>
      <c r="F40" s="11">
        <f t="shared" si="0"/>
        <v>0.78179291139869966</v>
      </c>
      <c r="G40" s="72">
        <f t="shared" si="1"/>
        <v>17556.797999999995</v>
      </c>
      <c r="H40" s="10">
        <f>SUMIF(Detail!$C$5:$C$476,Summary!$B40,Detail!$H$5:$H$476)</f>
        <v>54680.18</v>
      </c>
      <c r="I40" s="10">
        <f>SUMIF(Detail!$C$5:$C$505,Summary!$B40,Detail!$I$5:$I$505)</f>
        <v>8202.0220000000008</v>
      </c>
      <c r="J40" s="10">
        <f t="shared" si="2"/>
        <v>62882.202000000005</v>
      </c>
      <c r="K40" s="10"/>
      <c r="L40" s="10"/>
      <c r="M40" s="10">
        <f>SUMIF(Detail!$C$5:$C$505,Summary!$B40,Detail!$J$5:$J$505)</f>
        <v>0</v>
      </c>
      <c r="N40" s="10">
        <f>SUMIF(Detail!$C$5:$C$505,Summary!$B40,Detail!$K$5:$K$505)</f>
        <v>4.4379999999998745</v>
      </c>
      <c r="O40" s="10">
        <f>SUMIF(Detail!$C$5:$C$505,Summary!$B40,Detail!$L$5:$L$505)</f>
        <v>0</v>
      </c>
      <c r="P40" s="10">
        <f>SUMIF(Detail!$C$5:$C$298, Summary!$B40, Detail!$M$5:$M$298)</f>
        <v>0</v>
      </c>
      <c r="Q40" s="12">
        <f>SUMIF(Detail!$C$5:$C$298, Summary!$B40, Detail!$N$5:$N$298)</f>
        <v>0</v>
      </c>
      <c r="R40" s="13">
        <f t="shared" si="3"/>
        <v>-1.5916157281026244E-12</v>
      </c>
      <c r="S40" s="13"/>
    </row>
    <row r="41" spans="1:19" s="1" customFormat="1" x14ac:dyDescent="0.25">
      <c r="A41" s="14" t="s">
        <v>51</v>
      </c>
      <c r="B41" s="15" t="s">
        <v>52</v>
      </c>
      <c r="C41" s="9">
        <f>134919-23000</f>
        <v>111919</v>
      </c>
      <c r="D41" s="9">
        <f>SUMIF(Detail!$C$5:$C$476,Summary!$B41,Detail!$F$5:$F$476)</f>
        <v>76073.149999999994</v>
      </c>
      <c r="E41" s="10">
        <f>SUMIF(Detail!$C$5:$C$476,Summary!$B41,Detail!$G$5:$G$476)</f>
        <v>14385.07</v>
      </c>
      <c r="F41" s="11">
        <f t="shared" si="0"/>
        <v>0.80824721450334613</v>
      </c>
      <c r="G41" s="72">
        <f t="shared" si="1"/>
        <v>24434.880000000005</v>
      </c>
      <c r="H41" s="10">
        <f>SUMIF(Detail!$C$5:$C$476,Summary!$B41,Detail!$H$5:$H$476)</f>
        <v>76073.149999999994</v>
      </c>
      <c r="I41" s="10">
        <f>SUMIF(Detail!$C$5:$C$505,Summary!$B41,Detail!$I$5:$I$505)</f>
        <v>11410.97</v>
      </c>
      <c r="J41" s="10">
        <f t="shared" si="2"/>
        <v>87484.12</v>
      </c>
      <c r="K41" s="10"/>
      <c r="L41" s="10"/>
      <c r="M41" s="10">
        <f>SUMIF(Detail!$C$5:$C$505,Summary!$B41,Detail!$J$5:$J$505)</f>
        <v>0</v>
      </c>
      <c r="N41" s="10">
        <f>SUMIF(Detail!$C$5:$C$505,Summary!$B41,Detail!$K$5:$K$505)</f>
        <v>2974.1000000000004</v>
      </c>
      <c r="O41" s="10">
        <f>SUMIF(Detail!$C$5:$C$505,Summary!$B41,Detail!$L$5:$L$505)</f>
        <v>0</v>
      </c>
      <c r="P41" s="10">
        <f>SUMIF(Detail!$C$5:$C$298, Summary!$B41, Detail!$M$5:$M$298)</f>
        <v>0</v>
      </c>
      <c r="Q41" s="12">
        <f>SUMIF(Detail!$C$5:$C$298, Summary!$B41, Detail!$N$5:$N$298)</f>
        <v>0</v>
      </c>
      <c r="R41" s="13">
        <f t="shared" si="3"/>
        <v>7.2759576141834259E-12</v>
      </c>
      <c r="S41" s="13"/>
    </row>
    <row r="42" spans="1:19" x14ac:dyDescent="0.25">
      <c r="A42" s="16" t="s">
        <v>53</v>
      </c>
      <c r="B42" s="15" t="s">
        <v>113</v>
      </c>
      <c r="C42" s="9">
        <v>319838</v>
      </c>
      <c r="D42" s="9">
        <f>SUMIF(Detail!$C$5:$C$476,Summary!$B42,Detail!$F$5:$F$476)</f>
        <v>294827.74</v>
      </c>
      <c r="E42" s="10">
        <f>SUMIF(Detail!$C$5:$C$476,Summary!$B42,Detail!$G$5:$G$476)</f>
        <v>42261.17</v>
      </c>
      <c r="F42" s="11">
        <f t="shared" si="0"/>
        <v>1.0539363990520201</v>
      </c>
      <c r="G42" s="72">
        <f t="shared" si="1"/>
        <v>213577.8</v>
      </c>
      <c r="H42" s="10">
        <f>SUMIF(Detail!$C$5:$C$476,Summary!$B42,Detail!$H$5:$H$476)</f>
        <v>92305.46</v>
      </c>
      <c r="I42" s="10">
        <f>SUMIF(Detail!$C$5:$C$505,Summary!$B42,Detail!$I$5:$I$505)</f>
        <v>13954.74</v>
      </c>
      <c r="J42" s="10">
        <f t="shared" si="2"/>
        <v>106260.20000000001</v>
      </c>
      <c r="K42" s="10"/>
      <c r="L42" s="10"/>
      <c r="M42" s="10">
        <f>SUMIF(Detail!$C$5:$C$505,Summary!$B42,Detail!$J$5:$J$505)</f>
        <v>230828.71</v>
      </c>
      <c r="N42" s="10">
        <f>SUMIF(Detail!$C$5:$C$505,Summary!$B42,Detail!$K$5:$K$505)</f>
        <v>0</v>
      </c>
      <c r="O42" s="10">
        <f>SUMIF(Detail!$C$5:$C$505,Summary!$B42,Detail!$L$5:$L$505)</f>
        <v>0</v>
      </c>
      <c r="P42" s="10">
        <f>SUMIF(Detail!$C$5:$C$298, Summary!$B42, Detail!$M$5:$M$298)</f>
        <v>0</v>
      </c>
      <c r="Q42" s="12">
        <f>SUMIF(Detail!$C$5:$C$298, Summary!$B42, Detail!$N$5:$N$298)</f>
        <v>0</v>
      </c>
      <c r="R42" s="13">
        <f t="shared" si="3"/>
        <v>-2.9103830456733704E-11</v>
      </c>
      <c r="S42" s="13"/>
    </row>
    <row r="43" spans="1:19" x14ac:dyDescent="0.25">
      <c r="A43" s="16" t="s">
        <v>6</v>
      </c>
      <c r="B43" s="15" t="s">
        <v>54</v>
      </c>
      <c r="C43" s="9">
        <f>123225-50000-35000-4180</f>
        <v>34045</v>
      </c>
      <c r="D43" s="9">
        <f>SUMIF(Detail!$C$5:$C$476,Summary!$B43,Detail!$F$5:$F$476)</f>
        <v>29603.85</v>
      </c>
      <c r="E43" s="10">
        <f>SUMIF(Detail!$C$5:$C$476,Summary!$B43,Detail!$G$5:$G$476)</f>
        <v>5128.9799999999996</v>
      </c>
      <c r="F43" s="11">
        <f t="shared" si="0"/>
        <v>1.0202035541195478</v>
      </c>
      <c r="G43" s="72">
        <f t="shared" si="1"/>
        <v>5485.3600000000006</v>
      </c>
      <c r="H43" s="10">
        <f>SUMIF(Detail!$C$5:$C$476,Summary!$B43,Detail!$H$5:$H$476)</f>
        <v>24834.47</v>
      </c>
      <c r="I43" s="10">
        <f>SUMIF(Detail!$C$5:$C$505,Summary!$B43,Detail!$I$5:$I$505)</f>
        <v>3725.17</v>
      </c>
      <c r="J43" s="10">
        <f t="shared" si="2"/>
        <v>28559.64</v>
      </c>
      <c r="K43" s="10"/>
      <c r="L43" s="10"/>
      <c r="M43" s="10">
        <f>SUMIF(Detail!$C$5:$C$505,Summary!$B43,Detail!$J$5:$J$505)</f>
        <v>0</v>
      </c>
      <c r="N43" s="10">
        <f>SUMIF(Detail!$C$5:$C$505,Summary!$B43,Detail!$K$5:$K$505)</f>
        <v>9.9999999999909051E-3</v>
      </c>
      <c r="O43" s="10">
        <f>SUMIF(Detail!$C$5:$C$505,Summary!$B43,Detail!$L$5:$L$505)</f>
        <v>0</v>
      </c>
      <c r="P43" s="10">
        <f>SUMIF(Detail!$C$5:$C$298, Summary!$B43, Detail!$M$5:$M$298)</f>
        <v>6173.18</v>
      </c>
      <c r="Q43" s="12">
        <f>SUMIF(Detail!$C$5:$C$298, Summary!$B43, Detail!$N$5:$N$298)</f>
        <v>0</v>
      </c>
      <c r="R43" s="13">
        <f t="shared" si="3"/>
        <v>0</v>
      </c>
      <c r="S43" s="13"/>
    </row>
    <row r="44" spans="1:19" s="1" customFormat="1" x14ac:dyDescent="0.25">
      <c r="A44" s="14" t="s">
        <v>6</v>
      </c>
      <c r="B44" s="15" t="s">
        <v>55</v>
      </c>
      <c r="C44" s="9">
        <f>72264-10000-15000-560</f>
        <v>46704</v>
      </c>
      <c r="D44" s="9">
        <f>SUMIF(Detail!$C$5:$C$476,Summary!$B44,Detail!$F$5:$F$476)</f>
        <v>40609.939999999995</v>
      </c>
      <c r="E44" s="10">
        <f>SUMIF(Detail!$C$5:$C$476,Summary!$B44,Detail!$G$5:$G$476)</f>
        <v>6780.71</v>
      </c>
      <c r="F44" s="11">
        <f t="shared" si="0"/>
        <v>1.0147021668379581</v>
      </c>
      <c r="G44" s="72">
        <f t="shared" si="1"/>
        <v>3463.7000000000044</v>
      </c>
      <c r="H44" s="10">
        <f>SUMIF(Detail!$C$5:$C$476,Summary!$B44,Detail!$H$5:$H$476)</f>
        <v>37600.269999999997</v>
      </c>
      <c r="I44" s="10">
        <f>SUMIF(Detail!$C$5:$C$505,Summary!$B44,Detail!$I$5:$I$505)</f>
        <v>5640.03</v>
      </c>
      <c r="J44" s="10">
        <f t="shared" si="2"/>
        <v>43240.299999999996</v>
      </c>
      <c r="K44" s="10"/>
      <c r="L44" s="10"/>
      <c r="M44" s="10">
        <f>SUMIF(Detail!$C$5:$C$505,Summary!$B44,Detail!$J$5:$J$505)</f>
        <v>0</v>
      </c>
      <c r="N44" s="10">
        <f>SUMIF(Detail!$C$5:$C$505,Summary!$B44,Detail!$K$5:$K$505)</f>
        <v>0</v>
      </c>
      <c r="O44" s="10">
        <f>SUMIF(Detail!$C$5:$C$505,Summary!$B44,Detail!$L$5:$L$505)</f>
        <v>0</v>
      </c>
      <c r="P44" s="10">
        <f>SUMIF(Detail!$C$5:$C$298, Summary!$B44, Detail!$M$5:$M$298)</f>
        <v>4150.3499999999995</v>
      </c>
      <c r="Q44" s="12">
        <f>SUMIF(Detail!$C$5:$C$298, Summary!$B44, Detail!$N$5:$N$298)</f>
        <v>0</v>
      </c>
      <c r="R44" s="13">
        <f t="shared" si="3"/>
        <v>-1.8189894035458565E-12</v>
      </c>
      <c r="S44" s="13"/>
    </row>
    <row r="45" spans="1:19" x14ac:dyDescent="0.25">
      <c r="A45" s="16" t="s">
        <v>6</v>
      </c>
      <c r="B45" s="15" t="s">
        <v>56</v>
      </c>
      <c r="C45" s="9">
        <f>153196+20000-5970</f>
        <v>167226</v>
      </c>
      <c r="D45" s="9">
        <f>SUMIF(Detail!$C$5:$C$476,Summary!$B45,Detail!$F$5:$F$476)</f>
        <v>145407.43</v>
      </c>
      <c r="E45" s="10">
        <f>SUMIF(Detail!$C$5:$C$476,Summary!$B45,Detail!$G$5:$G$476)</f>
        <v>22404.129999999997</v>
      </c>
      <c r="F45" s="11">
        <f t="shared" si="0"/>
        <v>1.0035016086015331</v>
      </c>
      <c r="G45" s="72">
        <f t="shared" si="1"/>
        <v>47268.53</v>
      </c>
      <c r="H45" s="10">
        <f>SUMIF(Detail!$C$5:$C$476,Summary!$B45,Detail!$H$5:$H$476)</f>
        <v>104310.85</v>
      </c>
      <c r="I45" s="10">
        <f>SUMIF(Detail!$C$5:$C$505,Summary!$B45,Detail!$I$5:$I$505)</f>
        <v>15646.619999999999</v>
      </c>
      <c r="J45" s="10">
        <f t="shared" si="2"/>
        <v>119957.47</v>
      </c>
      <c r="K45" s="10"/>
      <c r="L45" s="10"/>
      <c r="M45" s="10">
        <f>SUMIF(Detail!$C$5:$C$505,Summary!$B45,Detail!$J$5:$J$505)</f>
        <v>0</v>
      </c>
      <c r="N45" s="10">
        <f>SUMIF(Detail!$C$5:$C$505,Summary!$B45,Detail!$K$5:$K$505)</f>
        <v>0</v>
      </c>
      <c r="O45" s="10">
        <f>SUMIF(Detail!$C$5:$C$505,Summary!$B45,Detail!$L$5:$L$505)</f>
        <v>0</v>
      </c>
      <c r="P45" s="10">
        <f>SUMIF(Detail!$C$5:$C$298, Summary!$B45, Detail!$M$5:$M$298)</f>
        <v>47854.090000000004</v>
      </c>
      <c r="Q45" s="12">
        <f>SUMIF(Detail!$C$5:$C$298, Summary!$B45, Detail!$N$5:$N$298)</f>
        <v>0</v>
      </c>
      <c r="R45" s="13">
        <f t="shared" si="3"/>
        <v>-7.2759576141834259E-12</v>
      </c>
      <c r="S45" s="13"/>
    </row>
    <row r="46" spans="1:19" s="1" customFormat="1" ht="14.25" customHeight="1" x14ac:dyDescent="0.25">
      <c r="A46" s="14" t="s">
        <v>57</v>
      </c>
      <c r="B46" s="15" t="s">
        <v>58</v>
      </c>
      <c r="C46" s="9">
        <f>68094-31400</f>
        <v>36694</v>
      </c>
      <c r="D46" s="9">
        <f>SUMIF(Detail!$C$5:$C$476,Summary!$B46,Detail!$F$5:$F$476)</f>
        <v>10240.75</v>
      </c>
      <c r="E46" s="10">
        <f>SUMIF(Detail!$C$5:$C$476,Summary!$B46,Detail!$G$5:$G$476)</f>
        <v>2042.82</v>
      </c>
      <c r="F46" s="11">
        <f t="shared" si="0"/>
        <v>0.33475690848640105</v>
      </c>
      <c r="G46" s="72">
        <f t="shared" si="1"/>
        <v>24917.14</v>
      </c>
      <c r="H46" s="10">
        <f>SUMIF(Detail!$C$5:$C$476,Summary!$B46,Detail!$H$5:$H$476)</f>
        <v>10240.75</v>
      </c>
      <c r="I46" s="10">
        <f>SUMIF(Detail!$C$5:$C$505,Summary!$B46,Detail!$I$5:$I$505)</f>
        <v>1536.1100000000001</v>
      </c>
      <c r="J46" s="10">
        <f t="shared" si="2"/>
        <v>11776.86</v>
      </c>
      <c r="K46" s="10"/>
      <c r="L46" s="10"/>
      <c r="M46" s="10">
        <f>SUMIF(Detail!$C$5:$C$505,Summary!$B46,Detail!$J$5:$J$505)</f>
        <v>0</v>
      </c>
      <c r="N46" s="10">
        <f>SUMIF(Detail!$C$5:$C$505,Summary!$B46,Detail!$K$5:$K$505)</f>
        <v>506.70999999999981</v>
      </c>
      <c r="O46" s="10">
        <f>SUMIF(Detail!$C$5:$C$505,Summary!$B46,Detail!$L$5:$L$505)</f>
        <v>0</v>
      </c>
      <c r="P46" s="10">
        <f>SUMIF(Detail!$C$5:$C$298, Summary!$B46, Detail!$M$5:$M$298)</f>
        <v>0</v>
      </c>
      <c r="Q46" s="12">
        <f>SUMIF(Detail!$C$5:$C$298, Summary!$B46, Detail!$N$5:$N$298)</f>
        <v>0</v>
      </c>
      <c r="R46" s="13">
        <f t="shared" si="3"/>
        <v>-2.2737367544323206E-13</v>
      </c>
      <c r="S46" s="13"/>
    </row>
    <row r="47" spans="1:19" s="1" customFormat="1" x14ac:dyDescent="0.25">
      <c r="A47" s="14" t="s">
        <v>59</v>
      </c>
      <c r="B47" s="15" t="s">
        <v>114</v>
      </c>
      <c r="C47" s="9">
        <v>189114</v>
      </c>
      <c r="D47" s="9">
        <f>SUMIF(Detail!$C$5:$C$476,Summary!$B47,Detail!$F$5:$F$476)</f>
        <v>45979.9</v>
      </c>
      <c r="E47" s="10">
        <f>SUMIF(Detail!$C$5:$C$476,Summary!$B47,Detail!$G$5:$G$476)</f>
        <v>54222.8</v>
      </c>
      <c r="F47" s="11">
        <f t="shared" si="0"/>
        <v>0.52985342174561378</v>
      </c>
      <c r="G47" s="72">
        <f t="shared" si="1"/>
        <v>136219.11849999998</v>
      </c>
      <c r="H47" s="10">
        <f>SUMIF(Detail!$C$5:$C$476,Summary!$B47,Detail!$H$5:$H$476)</f>
        <v>45979.9</v>
      </c>
      <c r="I47" s="10">
        <f>SUMIF(Detail!$C$5:$C$505,Summary!$B47,Detail!$I$5:$I$505)</f>
        <v>6914.9814999999999</v>
      </c>
      <c r="J47" s="10">
        <f t="shared" si="2"/>
        <v>52894.881500000003</v>
      </c>
      <c r="K47" s="10"/>
      <c r="L47" s="10"/>
      <c r="M47" s="10">
        <f>SUMIF(Detail!$C$5:$C$505,Summary!$B47,Detail!$J$5:$J$505)</f>
        <v>0</v>
      </c>
      <c r="N47" s="10">
        <f>SUMIF(Detail!$C$5:$C$505,Summary!$B47,Detail!$K$5:$K$505)</f>
        <v>47307.818500000001</v>
      </c>
      <c r="O47" s="10">
        <f>SUMIF(Detail!$C$5:$C$505,Summary!$B47,Detail!$L$5:$L$505)</f>
        <v>0</v>
      </c>
      <c r="P47" s="10">
        <f>SUMIF(Detail!$C$5:$C$298, Summary!$B47, Detail!$M$5:$M$298)</f>
        <v>0</v>
      </c>
      <c r="Q47" s="12">
        <f>SUMIF(Detail!$C$5:$C$298, Summary!$B47, Detail!$N$5:$N$298)</f>
        <v>0</v>
      </c>
      <c r="R47" s="13">
        <f t="shared" si="3"/>
        <v>7.2759576141834259E-12</v>
      </c>
      <c r="S47" s="13"/>
    </row>
    <row r="48" spans="1:19" x14ac:dyDescent="0.25">
      <c r="A48" s="16" t="s">
        <v>6</v>
      </c>
      <c r="B48" s="15" t="s">
        <v>115</v>
      </c>
      <c r="C48" s="9">
        <f>628965+25000+50000+75000+9730</f>
        <v>788695</v>
      </c>
      <c r="D48" s="9">
        <f>SUMIF(Detail!$C$5:$C$476,Summary!$B48,Detail!$F$5:$F$476)</f>
        <v>685816.51</v>
      </c>
      <c r="E48" s="10">
        <f>SUMIF(Detail!$C$5:$C$476,Summary!$B48,Detail!$G$5:$G$476)</f>
        <v>103053.14000000001</v>
      </c>
      <c r="F48" s="11">
        <f t="shared" si="0"/>
        <v>1.0002214417487114</v>
      </c>
      <c r="G48" s="72">
        <f t="shared" si="1"/>
        <v>174959.76</v>
      </c>
      <c r="H48" s="10">
        <f>SUMIF(Detail!$C$5:$C$476,Summary!$B48,Detail!$H$5:$H$476)</f>
        <v>537876.69999999995</v>
      </c>
      <c r="I48" s="10">
        <f>SUMIF(Detail!$C$5:$C$505,Summary!$B48,Detail!$I$5:$I$505)</f>
        <v>75858.540000000008</v>
      </c>
      <c r="J48" s="10">
        <f t="shared" si="2"/>
        <v>613735.24</v>
      </c>
      <c r="K48" s="10"/>
      <c r="L48" s="10"/>
      <c r="M48" s="10">
        <f>SUMIF(Detail!$C$5:$C$505,Summary!$B48,Detail!$J$5:$J$505)</f>
        <v>0</v>
      </c>
      <c r="N48" s="10">
        <f>SUMIF(Detail!$C$5:$C$505,Summary!$B48,Detail!$K$5:$K$505)</f>
        <v>0</v>
      </c>
      <c r="O48" s="10">
        <f>SUMIF(Detail!$C$5:$C$505,Summary!$B48,Detail!$L$5:$L$505)</f>
        <v>0</v>
      </c>
      <c r="P48" s="10">
        <f>SUMIF(Detail!$C$5:$C$298, Summary!$B48, Detail!$M$5:$M$298)</f>
        <v>175134.41</v>
      </c>
      <c r="Q48" s="12">
        <f>SUMIF(Detail!$C$5:$C$298, Summary!$B48, Detail!$N$5:$N$298)</f>
        <v>0</v>
      </c>
      <c r="R48" s="13">
        <f t="shared" si="3"/>
        <v>5.8207660913467407E-11</v>
      </c>
      <c r="S48" s="13"/>
    </row>
    <row r="49" spans="1:19" x14ac:dyDescent="0.25">
      <c r="A49" s="16" t="s">
        <v>6</v>
      </c>
      <c r="B49" s="15" t="s">
        <v>60</v>
      </c>
      <c r="C49" s="9">
        <f>113145-10000+5000-330</f>
        <v>107815</v>
      </c>
      <c r="D49" s="9">
        <f>SUMIF(Detail!$C$5:$C$476,Summary!$B49,Detail!$F$5:$F$476)</f>
        <v>93748.47</v>
      </c>
      <c r="E49" s="10">
        <f>SUMIF(Detail!$C$5:$C$476,Summary!$B49,Detail!$G$5:$G$476)</f>
        <v>14701.61</v>
      </c>
      <c r="F49" s="11">
        <f t="shared" si="0"/>
        <v>1.0058904605110606</v>
      </c>
      <c r="G49" s="72">
        <f t="shared" si="1"/>
        <v>24099.010000000009</v>
      </c>
      <c r="H49" s="10">
        <f>SUMIF(Detail!$C$5:$C$476,Summary!$B49,Detail!$H$5:$H$476)</f>
        <v>72796.509999999995</v>
      </c>
      <c r="I49" s="10">
        <f>SUMIF(Detail!$C$5:$C$505,Summary!$B49,Detail!$I$5:$I$505)</f>
        <v>10919.48</v>
      </c>
      <c r="J49" s="10">
        <f t="shared" si="2"/>
        <v>83715.989999999991</v>
      </c>
      <c r="K49" s="10"/>
      <c r="L49" s="10"/>
      <c r="M49" s="10">
        <f>SUMIF(Detail!$C$5:$C$505,Summary!$B49,Detail!$J$5:$J$505)</f>
        <v>0</v>
      </c>
      <c r="N49" s="10">
        <f>SUMIF(Detail!$C$5:$C$505,Summary!$B49,Detail!$K$5:$K$505)</f>
        <v>0</v>
      </c>
      <c r="O49" s="10">
        <f>SUMIF(Detail!$C$5:$C$505,Summary!$B49,Detail!$L$5:$L$505)</f>
        <v>0</v>
      </c>
      <c r="P49" s="10">
        <f>SUMIF(Detail!$C$5:$C$298, Summary!$B49, Detail!$M$5:$M$298)</f>
        <v>24734.09</v>
      </c>
      <c r="Q49" s="12">
        <f>SUMIF(Detail!$C$5:$C$298, Summary!$B49, Detail!$N$5:$N$298)</f>
        <v>0</v>
      </c>
      <c r="R49" s="13">
        <f t="shared" si="3"/>
        <v>7.2759576141834259E-12</v>
      </c>
      <c r="S49" s="13"/>
    </row>
    <row r="50" spans="1:19" x14ac:dyDescent="0.25">
      <c r="A50" s="16" t="s">
        <v>61</v>
      </c>
      <c r="B50" s="15" t="s">
        <v>116</v>
      </c>
      <c r="C50" s="9">
        <v>226688</v>
      </c>
      <c r="D50" s="9">
        <f>SUMIF(Detail!$C$5:$C$476,Summary!$B50,Detail!$F$5:$F$476)</f>
        <v>110671.40999999999</v>
      </c>
      <c r="E50" s="10">
        <f>SUMIF(Detail!$C$5:$C$476,Summary!$B50,Detail!$G$5:$G$476)</f>
        <v>50639.040000000001</v>
      </c>
      <c r="F50" s="11">
        <f t="shared" si="0"/>
        <v>0.71159677618577066</v>
      </c>
      <c r="G50" s="72">
        <f t="shared" si="1"/>
        <v>136719.37550000002</v>
      </c>
      <c r="H50" s="10">
        <f>SUMIF(Detail!$C$5:$C$476,Summary!$B50,Detail!$H$5:$H$476)</f>
        <v>78233.59</v>
      </c>
      <c r="I50" s="10">
        <f>SUMIF(Detail!$C$5:$C$505,Summary!$B50,Detail!$I$5:$I$505)</f>
        <v>11735.0345</v>
      </c>
      <c r="J50" s="10">
        <f t="shared" si="2"/>
        <v>89968.624499999991</v>
      </c>
      <c r="K50" s="10"/>
      <c r="L50" s="10"/>
      <c r="M50" s="10">
        <f>SUMIF(Detail!$C$5:$C$505,Summary!$B50,Detail!$J$5:$J$505)</f>
        <v>43734.149999999994</v>
      </c>
      <c r="N50" s="10">
        <f>SUMIF(Detail!$C$5:$C$505,Summary!$B50,Detail!$K$5:$K$505)</f>
        <v>27607.675499999998</v>
      </c>
      <c r="O50" s="10">
        <f>SUMIF(Detail!$C$5:$C$505,Summary!$B50,Detail!$L$5:$L$505)</f>
        <v>0</v>
      </c>
      <c r="P50" s="10">
        <f>SUMIF(Detail!$C$5:$C$298, Summary!$B50, Detail!$M$5:$M$298)</f>
        <v>0</v>
      </c>
      <c r="Q50" s="12">
        <f>SUMIF(Detail!$C$5:$C$298, Summary!$B50, Detail!$N$5:$N$298)</f>
        <v>0</v>
      </c>
      <c r="R50" s="13">
        <f t="shared" si="3"/>
        <v>0</v>
      </c>
      <c r="S50" s="13"/>
    </row>
    <row r="51" spans="1:19" s="1" customFormat="1" x14ac:dyDescent="0.25">
      <c r="A51" s="14" t="s">
        <v>6</v>
      </c>
      <c r="B51" s="15" t="s">
        <v>62</v>
      </c>
      <c r="C51" s="9">
        <f>52243-10000-25000-1280</f>
        <v>15963</v>
      </c>
      <c r="D51" s="9">
        <f>SUMIF(Detail!$C$5:$C$476,Summary!$B51,Detail!$F$5:$F$476)</f>
        <v>13879.27</v>
      </c>
      <c r="E51" s="10">
        <f>SUMIF(Detail!$C$5:$C$476,Summary!$B51,Detail!$G$5:$G$476)</f>
        <v>2766.9399999999996</v>
      </c>
      <c r="F51" s="11">
        <f t="shared" si="0"/>
        <v>1.042799599072856</v>
      </c>
      <c r="G51" s="72">
        <f t="shared" si="1"/>
        <v>5755.32</v>
      </c>
      <c r="H51" s="10">
        <f>SUMIF(Detail!$C$5:$C$476,Summary!$B51,Detail!$H$5:$H$476)</f>
        <v>9154.9600000000009</v>
      </c>
      <c r="I51" s="10">
        <f>SUMIF(Detail!$C$5:$C$505,Summary!$B51,Detail!$I$5:$I$505)</f>
        <v>1052.72</v>
      </c>
      <c r="J51" s="10">
        <f t="shared" si="2"/>
        <v>10207.68</v>
      </c>
      <c r="K51" s="10"/>
      <c r="L51" s="10"/>
      <c r="M51" s="10">
        <f>SUMIF(Detail!$C$5:$C$505,Summary!$B51,Detail!$J$5:$J$505)</f>
        <v>6118.0099999999993</v>
      </c>
      <c r="N51" s="10">
        <f>SUMIF(Detail!$C$5:$C$505,Summary!$B51,Detail!$K$5:$K$505)</f>
        <v>320.52</v>
      </c>
      <c r="O51" s="10">
        <f>SUMIF(Detail!$C$5:$C$505,Summary!$B51,Detail!$L$5:$L$505)</f>
        <v>0</v>
      </c>
      <c r="P51" s="10">
        <f>SUMIF(Detail!$C$5:$C$298, Summary!$B51, Detail!$M$5:$M$298)</f>
        <v>0</v>
      </c>
      <c r="Q51" s="12">
        <f>SUMIF(Detail!$C$5:$C$298, Summary!$B51, Detail!$N$5:$N$298)</f>
        <v>0</v>
      </c>
      <c r="R51" s="13">
        <f t="shared" si="3"/>
        <v>-1.3642420526593924E-12</v>
      </c>
      <c r="S51" s="13"/>
    </row>
    <row r="52" spans="1:19" x14ac:dyDescent="0.25">
      <c r="A52" s="16" t="s">
        <v>6</v>
      </c>
      <c r="B52" s="15" t="s">
        <v>63</v>
      </c>
      <c r="C52" s="9">
        <f>63195-10000-25000-5000-4430</f>
        <v>18765</v>
      </c>
      <c r="D52" s="9">
        <f>SUMIF(Detail!$C$5:$C$476,Summary!$B52,Detail!$F$5:$F$476)</f>
        <v>16308.79</v>
      </c>
      <c r="E52" s="10">
        <f>SUMIF(Detail!$C$5:$C$476,Summary!$B52,Detail!$G$5:$G$476)</f>
        <v>3136.36</v>
      </c>
      <c r="F52" s="11">
        <f t="shared" si="0"/>
        <v>1.0362456701305622</v>
      </c>
      <c r="G52" s="72">
        <f t="shared" si="1"/>
        <v>4085.357</v>
      </c>
      <c r="H52" s="10">
        <f>SUMIF(Detail!$C$5:$C$476,Summary!$B52,Detail!$H$5:$H$476)</f>
        <v>12764.91</v>
      </c>
      <c r="I52" s="10">
        <f>SUMIF(Detail!$C$5:$C$505,Summary!$B52,Detail!$I$5:$I$505)</f>
        <v>1914.7329999999999</v>
      </c>
      <c r="J52" s="10">
        <f t="shared" si="2"/>
        <v>14679.643</v>
      </c>
      <c r="K52" s="10"/>
      <c r="L52" s="10"/>
      <c r="M52" s="10">
        <f>SUMIF(Detail!$C$5:$C$505,Summary!$B52,Detail!$J$5:$J$505)</f>
        <v>4765.51</v>
      </c>
      <c r="N52" s="10">
        <f>SUMIF(Detail!$C$5:$C$505,Summary!$B52,Detail!$K$5:$K$505)</f>
        <v>-3.0000000000427463E-3</v>
      </c>
      <c r="O52" s="10">
        <f>SUMIF(Detail!$C$5:$C$505,Summary!$B52,Detail!$L$5:$L$505)</f>
        <v>0</v>
      </c>
      <c r="P52" s="10">
        <f>SUMIF(Detail!$C$5:$C$298, Summary!$B52, Detail!$M$5:$M$298)</f>
        <v>0</v>
      </c>
      <c r="Q52" s="12">
        <f>SUMIF(Detail!$C$5:$C$298, Summary!$B52, Detail!$N$5:$N$298)</f>
        <v>0</v>
      </c>
      <c r="R52" s="13">
        <f t="shared" si="3"/>
        <v>1.2505552149377763E-12</v>
      </c>
      <c r="S52" s="13"/>
    </row>
    <row r="53" spans="1:19" x14ac:dyDescent="0.25">
      <c r="A53" s="16" t="s">
        <v>6</v>
      </c>
      <c r="B53" s="15" t="s">
        <v>64</v>
      </c>
      <c r="C53" s="9">
        <f>201129+9380</f>
        <v>210509</v>
      </c>
      <c r="D53" s="9">
        <f>SUMIF(Detail!$C$5:$C$476,Summary!$B53,Detail!$F$5:$F$476)</f>
        <v>183050.72</v>
      </c>
      <c r="E53" s="10">
        <f>SUMIF(Detail!$C$5:$C$476,Summary!$B53,Detail!$G$5:$G$476)</f>
        <v>27967.78</v>
      </c>
      <c r="F53" s="11">
        <f t="shared" si="0"/>
        <v>1.0024203240716549</v>
      </c>
      <c r="G53" s="72">
        <f t="shared" si="1"/>
        <v>88554</v>
      </c>
      <c r="H53" s="10">
        <f>SUMIF(Detail!$C$5:$C$476,Summary!$B53,Detail!$H$5:$H$476)</f>
        <v>106047.83</v>
      </c>
      <c r="I53" s="10">
        <f>SUMIF(Detail!$C$5:$C$505,Summary!$B53,Detail!$I$5:$I$505)</f>
        <v>15907.169999999998</v>
      </c>
      <c r="J53" s="10">
        <f t="shared" si="2"/>
        <v>121955</v>
      </c>
      <c r="K53" s="10"/>
      <c r="L53" s="10"/>
      <c r="M53" s="10">
        <f>SUMIF(Detail!$C$5:$C$505,Summary!$B53,Detail!$J$5:$J$505)</f>
        <v>89063.5</v>
      </c>
      <c r="N53" s="10">
        <f>SUMIF(Detail!$C$5:$C$505,Summary!$B53,Detail!$K$5:$K$505)</f>
        <v>0</v>
      </c>
      <c r="O53" s="10">
        <f>SUMIF(Detail!$C$5:$C$505,Summary!$B53,Detail!$L$5:$L$505)</f>
        <v>0</v>
      </c>
      <c r="P53" s="10">
        <f>SUMIF(Detail!$C$5:$C$298, Summary!$B53, Detail!$M$5:$M$298)</f>
        <v>0</v>
      </c>
      <c r="Q53" s="12">
        <f>SUMIF(Detail!$C$5:$C$298, Summary!$B53, Detail!$N$5:$N$298)</f>
        <v>0</v>
      </c>
      <c r="R53" s="13">
        <f t="shared" si="3"/>
        <v>0</v>
      </c>
      <c r="S53" s="13"/>
    </row>
    <row r="54" spans="1:19" x14ac:dyDescent="0.25">
      <c r="A54" s="16" t="s">
        <v>65</v>
      </c>
      <c r="B54" s="15" t="s">
        <v>66</v>
      </c>
      <c r="C54" s="9">
        <f>171642-18000+15000</f>
        <v>168642</v>
      </c>
      <c r="D54" s="9">
        <f>SUMIF(Detail!$C$5:$C$476,Summary!$B54,Detail!$F$5:$F$476)</f>
        <v>150769.1</v>
      </c>
      <c r="E54" s="10">
        <f>SUMIF(Detail!$C$5:$C$476,Summary!$B54,Detail!$G$5:$G$476)</f>
        <v>17872.8</v>
      </c>
      <c r="F54" s="11">
        <f t="shared" si="0"/>
        <v>0.99999940702790524</v>
      </c>
      <c r="G54" s="72">
        <f t="shared" si="1"/>
        <v>108977.171</v>
      </c>
      <c r="H54" s="10">
        <f>SUMIF(Detail!$C$5:$C$476,Summary!$B54,Detail!$H$5:$H$476)</f>
        <v>51882.46</v>
      </c>
      <c r="I54" s="10">
        <f>SUMIF(Detail!$C$5:$C$505,Summary!$B54,Detail!$I$5:$I$505)</f>
        <v>7782.3689999999997</v>
      </c>
      <c r="J54" s="10">
        <f t="shared" si="2"/>
        <v>59664.828999999998</v>
      </c>
      <c r="K54" s="10"/>
      <c r="L54" s="10"/>
      <c r="M54" s="10">
        <f>SUMIF(Detail!$C$5:$C$505,Summary!$B54,Detail!$J$5:$J$505)</f>
        <v>106667.78</v>
      </c>
      <c r="N54" s="10">
        <f>SUMIF(Detail!$C$5:$C$505,Summary!$B54,Detail!$K$5:$K$505)</f>
        <v>2309.2910000000002</v>
      </c>
      <c r="O54" s="10">
        <f>SUMIF(Detail!$C$5:$C$505,Summary!$B54,Detail!$L$5:$L$505)</f>
        <v>0</v>
      </c>
      <c r="P54" s="10">
        <f>SUMIF(Detail!$C$5:$C$298, Summary!$B54, Detail!$M$5:$M$298)</f>
        <v>0</v>
      </c>
      <c r="Q54" s="12">
        <f>SUMIF(Detail!$C$5:$C$298, Summary!$B54, Detail!$N$5:$N$298)</f>
        <v>0</v>
      </c>
      <c r="R54" s="13">
        <f t="shared" si="3"/>
        <v>-2.7284841053187847E-12</v>
      </c>
      <c r="S54" s="13"/>
    </row>
    <row r="55" spans="1:19" x14ac:dyDescent="0.25">
      <c r="A55" s="16" t="s">
        <v>6</v>
      </c>
      <c r="B55" s="15" t="s">
        <v>67</v>
      </c>
      <c r="C55" s="9">
        <f>88869+15000+25000+20000+2620</f>
        <v>151489</v>
      </c>
      <c r="D55" s="9">
        <f>SUMIF(Detail!$C$5:$C$476,Summary!$B55,Detail!$F$5:$F$476)</f>
        <v>131724.56999999998</v>
      </c>
      <c r="E55" s="10">
        <f>SUMIF(Detail!$C$5:$C$476,Summary!$B55,Detail!$G$5:$G$476)</f>
        <v>20396.34</v>
      </c>
      <c r="F55" s="11">
        <f t="shared" si="0"/>
        <v>1.0041713259708624</v>
      </c>
      <c r="G55" s="72">
        <f t="shared" si="1"/>
        <v>25897.930000000008</v>
      </c>
      <c r="H55" s="10">
        <f>SUMIF(Detail!$C$5:$C$476,Summary!$B55,Detail!$H$5:$H$476)</f>
        <v>109209.62999999999</v>
      </c>
      <c r="I55" s="10">
        <f>SUMIF(Detail!$C$5:$C$505,Summary!$B55,Detail!$I$5:$I$505)</f>
        <v>16381.439999999999</v>
      </c>
      <c r="J55" s="10">
        <f t="shared" si="2"/>
        <v>125591.06999999999</v>
      </c>
      <c r="K55" s="10"/>
      <c r="L55" s="10"/>
      <c r="M55" s="10">
        <f>SUMIF(Detail!$C$5:$C$505,Summary!$B55,Detail!$J$5:$J$505)</f>
        <v>26529.84</v>
      </c>
      <c r="N55" s="10">
        <f>SUMIF(Detail!$C$5:$C$505,Summary!$B55,Detail!$K$5:$K$505)</f>
        <v>0</v>
      </c>
      <c r="O55" s="10">
        <f>SUMIF(Detail!$C$5:$C$505,Summary!$B55,Detail!$L$5:$L$505)</f>
        <v>0</v>
      </c>
      <c r="P55" s="10">
        <f>SUMIF(Detail!$C$5:$C$298, Summary!$B55, Detail!$M$5:$M$298)</f>
        <v>0</v>
      </c>
      <c r="Q55" s="12">
        <f>SUMIF(Detail!$C$5:$C$298, Summary!$B55, Detail!$N$5:$N$298)</f>
        <v>0</v>
      </c>
      <c r="R55" s="13">
        <f t="shared" si="3"/>
        <v>-1.4551915228366852E-11</v>
      </c>
      <c r="S55" s="13"/>
    </row>
    <row r="56" spans="1:19" ht="15.75" thickBot="1" x14ac:dyDescent="0.3">
      <c r="A56" s="18" t="s">
        <v>68</v>
      </c>
      <c r="B56" s="15" t="s">
        <v>69</v>
      </c>
      <c r="C56" s="9">
        <f>62353-31200</f>
        <v>31153</v>
      </c>
      <c r="D56" s="9">
        <f>SUMIF(Detail!$C$5:$C$476,Summary!$B56,Detail!$F$5:$F$476)</f>
        <v>0</v>
      </c>
      <c r="E56" s="10">
        <f>SUMIF(Detail!$C$5:$C$476,Summary!$B56,Detail!$G$5:$G$476)</f>
        <v>2057.65</v>
      </c>
      <c r="F56" s="11">
        <f t="shared" si="0"/>
        <v>6.6049818637049409E-2</v>
      </c>
      <c r="G56" s="72">
        <f t="shared" si="1"/>
        <v>31153</v>
      </c>
      <c r="H56" s="10">
        <f>SUMIF(Detail!$C$5:$C$476,Summary!$B56,Detail!$H$5:$H$476)</f>
        <v>0</v>
      </c>
      <c r="I56" s="10">
        <f>SUMIF(Detail!$C$5:$C$505,Summary!$B56,Detail!$I$5:$I$505)</f>
        <v>0</v>
      </c>
      <c r="J56" s="10">
        <f t="shared" si="2"/>
        <v>0</v>
      </c>
      <c r="K56" s="10"/>
      <c r="L56" s="10"/>
      <c r="M56" s="10">
        <f>SUMIF(Detail!$C$5:$C$505,Summary!$B56,Detail!$J$5:$J$505)</f>
        <v>0</v>
      </c>
      <c r="N56" s="10">
        <f>SUMIF(Detail!$C$5:$C$505,Summary!$B56,Detail!$K$5:$K$505)</f>
        <v>2057.65</v>
      </c>
      <c r="O56" s="10">
        <f>SUMIF(Detail!$C$5:$C$505,Summary!$B56,Detail!$L$5:$L$505)</f>
        <v>0</v>
      </c>
      <c r="P56" s="10">
        <f>SUMIF(Detail!$C$5:$C$298, Summary!$B56, Detail!$M$5:$M$298)</f>
        <v>0</v>
      </c>
      <c r="Q56" s="12">
        <f>SUMIF(Detail!$C$5:$C$298, Summary!$B56, Detail!$N$5:$N$298)</f>
        <v>0</v>
      </c>
      <c r="R56" s="13">
        <f t="shared" si="3"/>
        <v>0</v>
      </c>
      <c r="S56" s="13"/>
    </row>
    <row r="57" spans="1:19" ht="16.5" thickTop="1" thickBot="1" x14ac:dyDescent="0.3">
      <c r="A57" s="71"/>
      <c r="B57" s="20"/>
      <c r="C57" s="19" t="s">
        <v>117</v>
      </c>
      <c r="D57" s="21"/>
      <c r="E57" s="22"/>
      <c r="F57" s="23"/>
      <c r="G57" s="24"/>
      <c r="H57" s="22"/>
      <c r="I57" s="22"/>
      <c r="J57" s="22"/>
      <c r="K57" s="22"/>
      <c r="L57" s="22"/>
      <c r="M57" s="22"/>
      <c r="N57" s="22"/>
      <c r="O57" s="22"/>
      <c r="P57" s="22"/>
      <c r="Q57" s="25"/>
      <c r="R57" s="13"/>
      <c r="S57" s="13"/>
    </row>
    <row r="58" spans="1:19" ht="16.5" thickTop="1" thickBot="1" x14ac:dyDescent="0.3">
      <c r="A58" s="26" t="s">
        <v>118</v>
      </c>
      <c r="B58" s="84"/>
      <c r="C58" s="27"/>
      <c r="D58" s="28"/>
      <c r="E58" s="29"/>
      <c r="F58" s="30"/>
      <c r="G58" s="29"/>
      <c r="H58" s="29"/>
      <c r="I58" s="29"/>
      <c r="J58" s="29">
        <f>SUM(J4:J57)</f>
        <v>5970919.9440000011</v>
      </c>
      <c r="K58" s="29"/>
      <c r="L58" s="29"/>
      <c r="M58" s="29">
        <f>SUM(M4:M57)</f>
        <v>1327023.9500000002</v>
      </c>
      <c r="N58" s="29"/>
      <c r="O58" s="29"/>
      <c r="P58" s="29">
        <f>SUM(P4:P57)</f>
        <v>1058449.49</v>
      </c>
      <c r="Q58" s="31"/>
      <c r="R58" s="13"/>
      <c r="S58" s="2"/>
    </row>
    <row r="59" spans="1:19" x14ac:dyDescent="0.25">
      <c r="A59" s="16" t="s">
        <v>6</v>
      </c>
      <c r="B59" s="15" t="s">
        <v>119</v>
      </c>
      <c r="C59" s="32">
        <v>500000</v>
      </c>
      <c r="D59" s="9">
        <f>97373.09+93790.68+133697.04</f>
        <v>324860.81</v>
      </c>
      <c r="E59" s="10"/>
      <c r="F59" s="11">
        <f t="shared" ref="F59" si="4">(SUM($D59:$E59)/$C59)</f>
        <v>0.64972162</v>
      </c>
      <c r="G59" s="17"/>
      <c r="H59" s="10">
        <f>D59</f>
        <v>324860.81</v>
      </c>
      <c r="I59" s="10"/>
      <c r="J59" s="10">
        <f>H59</f>
        <v>324860.81</v>
      </c>
      <c r="K59" s="10"/>
      <c r="L59" s="10"/>
      <c r="M59" s="10"/>
      <c r="N59" s="10"/>
      <c r="O59" s="10"/>
      <c r="P59" s="10"/>
      <c r="Q59" s="12"/>
      <c r="R59" s="13"/>
      <c r="S59" s="13"/>
    </row>
    <row r="60" spans="1:19" x14ac:dyDescent="0.25">
      <c r="A60" s="16"/>
      <c r="B60" s="15"/>
      <c r="C60" s="32"/>
      <c r="D60" s="9"/>
      <c r="E60" s="10"/>
      <c r="F60" s="11"/>
      <c r="G60" s="17"/>
      <c r="H60" s="10"/>
      <c r="I60" s="10"/>
      <c r="J60" s="10"/>
      <c r="K60" s="10"/>
      <c r="L60" s="10"/>
      <c r="M60" s="10"/>
      <c r="N60" s="10"/>
      <c r="O60" s="10"/>
      <c r="P60" s="10"/>
      <c r="Q60" s="12"/>
      <c r="R60" s="13"/>
      <c r="S60" s="13"/>
    </row>
    <row r="61" spans="1:19" x14ac:dyDescent="0.25">
      <c r="A61" s="16" t="s">
        <v>120</v>
      </c>
      <c r="B61" s="15" t="s">
        <v>121</v>
      </c>
      <c r="C61" s="3">
        <f>34800+55800+65000+26000+23000+18000+20000+10000+26100+11300+52000+31400+31200-20000-50000-10000-2500-30000-15000-10000-20000-30000-16000-15000-15000-6202.24-10.44</f>
        <v>164887.32</v>
      </c>
      <c r="D61" s="9"/>
      <c r="E61" s="10"/>
      <c r="F61" s="11"/>
      <c r="G61" s="17"/>
      <c r="H61" s="10"/>
      <c r="I61" s="10"/>
      <c r="J61" s="10"/>
      <c r="K61" s="10"/>
      <c r="L61" s="10"/>
      <c r="M61" s="10"/>
      <c r="N61" s="10"/>
      <c r="O61" s="10"/>
      <c r="P61" s="10"/>
      <c r="Q61" s="12"/>
      <c r="S61" s="13"/>
    </row>
    <row r="62" spans="1:19" ht="15.75" thickBot="1" x14ac:dyDescent="0.3">
      <c r="A62" s="104" t="s">
        <v>122</v>
      </c>
      <c r="B62" s="105"/>
      <c r="C62" s="27">
        <f>SUM(C4:C59)+C61</f>
        <v>10000000</v>
      </c>
      <c r="D62" s="33"/>
      <c r="E62" s="34"/>
      <c r="F62" s="35"/>
      <c r="G62" s="34"/>
      <c r="H62" s="34"/>
      <c r="I62" s="34"/>
      <c r="J62" s="34">
        <f>SUM(J58:J59)</f>
        <v>6295780.7540000007</v>
      </c>
      <c r="K62" s="34"/>
      <c r="L62" s="34"/>
      <c r="M62" s="34"/>
      <c r="N62" s="34"/>
      <c r="O62" s="34"/>
      <c r="P62" s="34"/>
      <c r="Q62" s="36"/>
    </row>
    <row r="63" spans="1:19" ht="3.95" customHeight="1" thickTop="1" x14ac:dyDescent="0.25">
      <c r="A63" s="37"/>
      <c r="B63" s="38"/>
      <c r="C63" s="39"/>
      <c r="D63" s="40"/>
      <c r="E63" s="40"/>
      <c r="F63" s="41"/>
      <c r="G63" s="41"/>
      <c r="H63" s="40"/>
      <c r="I63" s="40"/>
      <c r="J63" s="40"/>
      <c r="K63" s="40"/>
      <c r="L63" s="40"/>
      <c r="M63" s="40"/>
      <c r="N63" s="40"/>
      <c r="O63" s="40"/>
      <c r="P63" s="40"/>
      <c r="Q63" s="42"/>
    </row>
    <row r="64" spans="1:19" ht="3.95" customHeight="1" x14ac:dyDescent="0.25">
      <c r="A64" s="43"/>
      <c r="B64" s="38"/>
      <c r="C64" s="39"/>
      <c r="D64" s="40"/>
      <c r="E64" s="40"/>
      <c r="F64" s="41"/>
      <c r="G64" s="41"/>
      <c r="H64" s="40"/>
      <c r="I64" s="40"/>
      <c r="J64" s="40"/>
      <c r="K64" s="40"/>
      <c r="L64" s="40"/>
      <c r="M64" s="40"/>
      <c r="N64" s="40"/>
      <c r="O64" s="40"/>
      <c r="P64" s="40"/>
      <c r="Q64" s="42"/>
    </row>
    <row r="65" spans="1:17" ht="3.95" customHeight="1" x14ac:dyDescent="0.25">
      <c r="A65" s="43"/>
      <c r="B65" s="38"/>
      <c r="C65" s="39"/>
      <c r="D65" s="40"/>
      <c r="E65" s="40"/>
      <c r="F65" s="41"/>
      <c r="G65" s="41"/>
      <c r="H65" s="40"/>
      <c r="I65" s="40"/>
      <c r="J65" s="40"/>
      <c r="K65" s="40"/>
      <c r="L65" s="40"/>
      <c r="M65" s="40"/>
      <c r="N65" s="40"/>
      <c r="O65" s="40"/>
      <c r="P65" s="40"/>
      <c r="Q65" s="42"/>
    </row>
    <row r="66" spans="1:17" ht="3.95" customHeight="1" x14ac:dyDescent="0.25">
      <c r="A66" s="43"/>
      <c r="B66" s="38"/>
      <c r="C66" s="39"/>
      <c r="D66" s="40"/>
      <c r="E66" s="40"/>
      <c r="F66" s="41"/>
      <c r="G66" s="41"/>
      <c r="H66" s="40"/>
      <c r="I66" s="40"/>
      <c r="J66" s="40"/>
      <c r="K66" s="40"/>
      <c r="L66" s="40"/>
      <c r="M66" s="40"/>
      <c r="N66" s="40"/>
      <c r="O66" s="40"/>
      <c r="P66" s="40"/>
      <c r="Q66" s="42"/>
    </row>
    <row r="67" spans="1:17" ht="3.95" customHeight="1" x14ac:dyDescent="0.25">
      <c r="A67" s="43"/>
      <c r="B67" s="38"/>
      <c r="C67" s="39"/>
      <c r="D67" s="40"/>
      <c r="E67" s="40"/>
      <c r="F67" s="41"/>
      <c r="G67" s="41"/>
      <c r="H67" s="40"/>
      <c r="I67" s="40"/>
      <c r="J67" s="40"/>
      <c r="K67" s="40"/>
      <c r="L67" s="40"/>
      <c r="M67" s="40"/>
      <c r="N67" s="40"/>
      <c r="O67" s="40"/>
      <c r="P67" s="40"/>
      <c r="Q67" s="42"/>
    </row>
    <row r="68" spans="1:17" x14ac:dyDescent="0.25">
      <c r="I68" s="47"/>
      <c r="J68" s="48"/>
    </row>
    <row r="69" spans="1:17" x14ac:dyDescent="0.25">
      <c r="I69" s="47"/>
      <c r="J69" s="50"/>
    </row>
    <row r="72" spans="1:17" x14ac:dyDescent="0.25">
      <c r="A72" s="45"/>
      <c r="B72" s="45"/>
      <c r="C72" s="51"/>
      <c r="D72" s="46"/>
      <c r="F72" s="45"/>
      <c r="G72" s="45"/>
      <c r="N72" s="49"/>
      <c r="O72"/>
      <c r="P72"/>
      <c r="Q72"/>
    </row>
    <row r="73" spans="1:17" x14ac:dyDescent="0.25">
      <c r="A73" s="45"/>
      <c r="B73" s="45"/>
      <c r="C73" s="51"/>
      <c r="D73" s="46"/>
      <c r="F73" s="45"/>
      <c r="G73" s="45"/>
      <c r="N73" s="49"/>
      <c r="O73"/>
      <c r="P73"/>
      <c r="Q73"/>
    </row>
    <row r="74" spans="1:17" x14ac:dyDescent="0.25">
      <c r="A74" s="45"/>
      <c r="B74" s="45"/>
      <c r="C74" s="51"/>
      <c r="D74" s="46"/>
      <c r="F74" s="45"/>
      <c r="G74" s="45"/>
      <c r="N74" s="49"/>
      <c r="O74"/>
      <c r="P74"/>
      <c r="Q74"/>
    </row>
    <row r="75" spans="1:17" x14ac:dyDescent="0.25">
      <c r="A75" s="45"/>
      <c r="B75" s="45"/>
      <c r="C75" s="51"/>
      <c r="D75" s="46"/>
      <c r="F75" s="45"/>
      <c r="G75" s="45"/>
      <c r="N75" s="49"/>
      <c r="O75"/>
      <c r="P75"/>
      <c r="Q75"/>
    </row>
  </sheetData>
  <mergeCells count="1">
    <mergeCell ref="A1:Q1"/>
  </mergeCells>
  <pageMargins left="0.25" right="0.25" top="0.75" bottom="0.75" header="0.3" footer="0.3"/>
  <pageSetup scale="43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6"/>
  <sheetViews>
    <sheetView topLeftCell="E223" zoomScaleNormal="100" workbookViewId="0">
      <selection activeCell="A176" sqref="A176"/>
    </sheetView>
  </sheetViews>
  <sheetFormatPr defaultRowHeight="15" x14ac:dyDescent="0.25"/>
  <cols>
    <col min="1" max="1" width="9.140625" style="52" customWidth="1"/>
    <col min="2" max="2" width="78.42578125" style="52" customWidth="1"/>
    <col min="3" max="3" width="5.5703125" style="129" customWidth="1"/>
    <col min="4" max="4" width="16.28515625" style="52" bestFit="1" customWidth="1"/>
    <col min="5" max="5" width="13.85546875" style="128" bestFit="1" customWidth="1"/>
    <col min="6" max="6" width="19.7109375" style="32" bestFit="1" customWidth="1"/>
    <col min="7" max="7" width="14.42578125" style="32" customWidth="1"/>
    <col min="8" max="8" width="18.7109375" style="32" bestFit="1" customWidth="1"/>
    <col min="9" max="9" width="14.7109375" style="32" customWidth="1"/>
    <col min="10" max="10" width="16.140625" style="32" customWidth="1"/>
    <col min="11" max="11" width="23" style="32" customWidth="1"/>
    <col min="12" max="12" width="20.140625" style="52" customWidth="1"/>
    <col min="13" max="13" width="14.28515625" style="32" bestFit="1" customWidth="1"/>
    <col min="14" max="14" width="12.5703125" style="52" bestFit="1" customWidth="1"/>
    <col min="15" max="15" width="13.42578125" style="52" bestFit="1" customWidth="1"/>
    <col min="16" max="16" width="9.140625" style="52"/>
    <col min="17" max="17" width="11.140625" style="52" bestFit="1" customWidth="1"/>
    <col min="18" max="16384" width="9.140625" style="52"/>
  </cols>
  <sheetData>
    <row r="1" spans="1:14" ht="26.25" customHeight="1" thickTop="1" x14ac:dyDescent="0.25">
      <c r="A1" s="158" t="s">
        <v>159</v>
      </c>
      <c r="B1" s="159"/>
      <c r="C1" s="159"/>
      <c r="D1" s="159"/>
      <c r="E1" s="159"/>
      <c r="F1" s="159"/>
      <c r="G1" s="159"/>
      <c r="H1" s="159"/>
      <c r="I1" s="160"/>
      <c r="J1" s="159"/>
      <c r="K1" s="159"/>
      <c r="L1" s="159"/>
      <c r="M1" s="159"/>
      <c r="N1" s="161"/>
    </row>
    <row r="2" spans="1:14" ht="26.25" customHeight="1" x14ac:dyDescent="0.25">
      <c r="A2" s="134"/>
      <c r="B2" s="135"/>
      <c r="C2" s="136"/>
      <c r="D2" s="137"/>
      <c r="E2" s="138"/>
      <c r="F2" s="162" t="s">
        <v>86</v>
      </c>
      <c r="G2" s="162"/>
      <c r="H2" s="163" t="s">
        <v>89</v>
      </c>
      <c r="I2" s="164"/>
      <c r="J2" s="139" t="s">
        <v>123</v>
      </c>
      <c r="K2" s="163" t="s">
        <v>92</v>
      </c>
      <c r="L2" s="163"/>
      <c r="M2" s="140"/>
      <c r="N2" s="141"/>
    </row>
    <row r="3" spans="1:14" ht="32.25" customHeight="1" thickBot="1" x14ac:dyDescent="0.3">
      <c r="A3" s="142" t="s">
        <v>124</v>
      </c>
      <c r="B3" s="143" t="s">
        <v>84</v>
      </c>
      <c r="C3" s="144" t="s">
        <v>0</v>
      </c>
      <c r="D3" s="145" t="s">
        <v>125</v>
      </c>
      <c r="E3" s="146" t="s">
        <v>126</v>
      </c>
      <c r="F3" s="132" t="s">
        <v>94</v>
      </c>
      <c r="G3" s="147" t="s">
        <v>95</v>
      </c>
      <c r="H3" s="133" t="s">
        <v>94</v>
      </c>
      <c r="I3" s="147" t="s">
        <v>96</v>
      </c>
      <c r="J3" s="133" t="s">
        <v>99</v>
      </c>
      <c r="K3" s="133" t="s">
        <v>100</v>
      </c>
      <c r="L3" s="133" t="s">
        <v>146</v>
      </c>
      <c r="M3" s="148" t="s">
        <v>93</v>
      </c>
      <c r="N3" s="149" t="s">
        <v>1</v>
      </c>
    </row>
    <row r="4" spans="1:14" ht="15.75" thickTop="1" x14ac:dyDescent="0.25">
      <c r="F4" s="52"/>
      <c r="H4" s="52"/>
      <c r="J4" s="52"/>
      <c r="M4" s="52"/>
    </row>
    <row r="5" spans="1:14" x14ac:dyDescent="0.25">
      <c r="B5" s="52" t="s">
        <v>144</v>
      </c>
      <c r="C5" s="129" t="s">
        <v>48</v>
      </c>
      <c r="D5" s="52" t="s">
        <v>70</v>
      </c>
      <c r="E5" s="128">
        <v>42597</v>
      </c>
      <c r="F5" s="32">
        <f>2119.85+820.19+8517.53+427.45+2486.25</f>
        <v>14371.27</v>
      </c>
      <c r="G5" s="32">
        <v>7988.08</v>
      </c>
      <c r="H5" s="32">
        <v>14371.27</v>
      </c>
      <c r="I5" s="32">
        <f>2155.69+735.88</f>
        <v>2891.57</v>
      </c>
      <c r="K5" s="32">
        <f>G5-I5</f>
        <v>5096.51</v>
      </c>
    </row>
    <row r="6" spans="1:14" x14ac:dyDescent="0.25">
      <c r="B6" s="52" t="s">
        <v>37</v>
      </c>
      <c r="C6" s="129" t="s">
        <v>38</v>
      </c>
      <c r="D6" s="52" t="s">
        <v>70</v>
      </c>
      <c r="E6" s="128">
        <v>42605</v>
      </c>
      <c r="F6" s="32">
        <v>247.42</v>
      </c>
      <c r="G6" s="32">
        <v>0</v>
      </c>
      <c r="H6" s="32">
        <f t="shared" ref="H6:H15" si="0">F6</f>
        <v>247.42</v>
      </c>
    </row>
    <row r="7" spans="1:14" x14ac:dyDescent="0.25">
      <c r="B7" s="52" t="s">
        <v>29</v>
      </c>
      <c r="C7" s="129" t="s">
        <v>106</v>
      </c>
      <c r="D7" s="52" t="s">
        <v>70</v>
      </c>
      <c r="E7" s="128">
        <v>42607</v>
      </c>
      <c r="F7" s="32">
        <f>1365.38+20001.76+5363.04+312.72</f>
        <v>27042.9</v>
      </c>
      <c r="G7" s="32">
        <v>973.49</v>
      </c>
      <c r="H7" s="32">
        <f t="shared" si="0"/>
        <v>27042.9</v>
      </c>
      <c r="I7" s="32">
        <f>G7</f>
        <v>973.49</v>
      </c>
    </row>
    <row r="8" spans="1:14" x14ac:dyDescent="0.25">
      <c r="B8" s="52" t="s">
        <v>3</v>
      </c>
      <c r="C8" s="129" t="s">
        <v>4</v>
      </c>
      <c r="D8" s="52" t="s">
        <v>70</v>
      </c>
      <c r="E8" s="128">
        <v>42611</v>
      </c>
      <c r="F8" s="32">
        <f>537.98+768.69+628+224.36</f>
        <v>2159.0300000000002</v>
      </c>
      <c r="G8" s="32">
        <v>335.16</v>
      </c>
      <c r="H8" s="32">
        <f t="shared" si="0"/>
        <v>2159.0300000000002</v>
      </c>
      <c r="I8" s="32">
        <f>323.8545+11.31</f>
        <v>335.16449999999998</v>
      </c>
      <c r="K8" s="32">
        <f>G8-I8</f>
        <v>-4.4999999999504325E-3</v>
      </c>
    </row>
    <row r="9" spans="1:14" x14ac:dyDescent="0.25">
      <c r="B9" s="52" t="s">
        <v>145</v>
      </c>
      <c r="C9" s="129" t="s">
        <v>32</v>
      </c>
      <c r="D9" s="52" t="s">
        <v>70</v>
      </c>
      <c r="E9" s="128">
        <v>42615</v>
      </c>
      <c r="F9" s="32">
        <f>157.5+381.45+2330.96+562.5+75</f>
        <v>3507.41</v>
      </c>
      <c r="G9" s="32">
        <v>2374.3000000000002</v>
      </c>
      <c r="H9" s="32">
        <f t="shared" si="0"/>
        <v>3507.41</v>
      </c>
      <c r="I9" s="32">
        <v>526.11</v>
      </c>
      <c r="K9" s="32">
        <f>G9-I9</f>
        <v>1848.19</v>
      </c>
    </row>
    <row r="10" spans="1:14" x14ac:dyDescent="0.25">
      <c r="B10" s="52" t="s">
        <v>144</v>
      </c>
      <c r="C10" s="129" t="s">
        <v>48</v>
      </c>
      <c r="D10" s="52" t="s">
        <v>71</v>
      </c>
      <c r="E10" s="128">
        <v>42628</v>
      </c>
      <c r="F10" s="32">
        <f>1027.94+5417.84+12507.26+1055.4</f>
        <v>20008.440000000002</v>
      </c>
      <c r="G10" s="32">
        <v>9356.5499999999993</v>
      </c>
      <c r="H10" s="32">
        <f t="shared" si="0"/>
        <v>20008.440000000002</v>
      </c>
      <c r="I10" s="32">
        <v>3001.27</v>
      </c>
      <c r="K10" s="32">
        <f>G10-I10</f>
        <v>6355.2799999999988</v>
      </c>
    </row>
    <row r="11" spans="1:14" x14ac:dyDescent="0.25">
      <c r="B11" s="52" t="s">
        <v>37</v>
      </c>
      <c r="C11" s="129" t="s">
        <v>38</v>
      </c>
      <c r="D11" s="52" t="s">
        <v>71</v>
      </c>
      <c r="E11" s="128">
        <v>42639</v>
      </c>
      <c r="F11" s="32">
        <f>184.85+8931.8+911.31</f>
        <v>10027.959999999999</v>
      </c>
      <c r="G11" s="32">
        <v>0</v>
      </c>
      <c r="H11" s="32">
        <f t="shared" si="0"/>
        <v>10027.959999999999</v>
      </c>
    </row>
    <row r="12" spans="1:14" x14ac:dyDescent="0.25">
      <c r="B12" s="52" t="s">
        <v>29</v>
      </c>
      <c r="C12" s="129" t="s">
        <v>106</v>
      </c>
      <c r="D12" s="52" t="s">
        <v>71</v>
      </c>
      <c r="E12" s="128">
        <v>42636</v>
      </c>
      <c r="F12" s="32">
        <f>225+6019.86+5975.22+79.44</f>
        <v>12299.52</v>
      </c>
      <c r="G12" s="32">
        <v>997.58</v>
      </c>
      <c r="H12" s="32">
        <f t="shared" si="0"/>
        <v>12299.52</v>
      </c>
      <c r="I12" s="32">
        <f>G12</f>
        <v>997.58</v>
      </c>
    </row>
    <row r="13" spans="1:14" x14ac:dyDescent="0.25">
      <c r="B13" s="52" t="s">
        <v>145</v>
      </c>
      <c r="C13" s="129" t="s">
        <v>32</v>
      </c>
      <c r="D13" s="52" t="s">
        <v>71</v>
      </c>
      <c r="E13" s="128">
        <v>42642</v>
      </c>
      <c r="F13" s="32">
        <v>3915.66</v>
      </c>
      <c r="G13" s="32">
        <v>2893.8</v>
      </c>
      <c r="H13" s="32">
        <f t="shared" si="0"/>
        <v>3915.66</v>
      </c>
      <c r="I13" s="32">
        <v>587.34900000000005</v>
      </c>
      <c r="K13" s="32">
        <f>G13-I13</f>
        <v>2306.451</v>
      </c>
    </row>
    <row r="14" spans="1:14" x14ac:dyDescent="0.25">
      <c r="B14" s="52" t="s">
        <v>3</v>
      </c>
      <c r="C14" s="129" t="s">
        <v>4</v>
      </c>
      <c r="D14" s="52" t="s">
        <v>71</v>
      </c>
      <c r="E14" s="128">
        <v>42643</v>
      </c>
      <c r="F14" s="32">
        <v>8339.7199999999993</v>
      </c>
      <c r="G14" s="32">
        <v>384.44</v>
      </c>
      <c r="H14" s="32">
        <f t="shared" si="0"/>
        <v>8339.7199999999993</v>
      </c>
      <c r="I14" s="32">
        <f>G14</f>
        <v>384.44</v>
      </c>
    </row>
    <row r="15" spans="1:14" x14ac:dyDescent="0.25">
      <c r="B15" s="52" t="s">
        <v>24</v>
      </c>
      <c r="C15" s="129" t="s">
        <v>25</v>
      </c>
      <c r="D15" s="52" t="s">
        <v>72</v>
      </c>
      <c r="E15" s="128">
        <v>42656</v>
      </c>
      <c r="F15" s="32">
        <v>50085.8</v>
      </c>
      <c r="G15" s="32">
        <v>11001.92</v>
      </c>
      <c r="H15" s="32">
        <f t="shared" si="0"/>
        <v>50085.8</v>
      </c>
      <c r="I15" s="32">
        <v>7512.87</v>
      </c>
      <c r="K15" s="32">
        <f>G15-I15</f>
        <v>3489.05</v>
      </c>
    </row>
    <row r="16" spans="1:14" x14ac:dyDescent="0.25">
      <c r="B16" s="52" t="s">
        <v>51</v>
      </c>
      <c r="C16" s="129" t="s">
        <v>52</v>
      </c>
      <c r="D16" s="52" t="s">
        <v>72</v>
      </c>
      <c r="E16" s="128">
        <v>42656</v>
      </c>
      <c r="F16" s="32">
        <v>14639</v>
      </c>
      <c r="G16" s="32">
        <v>5997.57</v>
      </c>
      <c r="H16" s="32">
        <v>14639</v>
      </c>
      <c r="I16" s="32">
        <f>2195.85+1814.97+850.06</f>
        <v>4860.8799999999992</v>
      </c>
      <c r="K16" s="32">
        <f>G16-I16</f>
        <v>1136.6900000000005</v>
      </c>
    </row>
    <row r="17" spans="2:11" x14ac:dyDescent="0.25">
      <c r="B17" s="52" t="s">
        <v>9</v>
      </c>
      <c r="C17" s="129" t="s">
        <v>10</v>
      </c>
      <c r="D17" s="52" t="s">
        <v>72</v>
      </c>
      <c r="E17" s="128">
        <v>42660</v>
      </c>
      <c r="F17" s="32">
        <v>210247.4</v>
      </c>
      <c r="G17" s="32">
        <v>31380.67</v>
      </c>
      <c r="H17" s="32">
        <f>F17</f>
        <v>210247.4</v>
      </c>
      <c r="I17" s="32">
        <f>G17</f>
        <v>31380.67</v>
      </c>
    </row>
    <row r="18" spans="2:11" x14ac:dyDescent="0.25">
      <c r="B18" s="52" t="s">
        <v>144</v>
      </c>
      <c r="C18" s="129" t="s">
        <v>48</v>
      </c>
      <c r="D18" s="52" t="s">
        <v>147</v>
      </c>
      <c r="E18" s="128">
        <v>42667</v>
      </c>
      <c r="F18" s="32">
        <f>717.15+8672.28+13137.63+2627.05</f>
        <v>25154.109999999997</v>
      </c>
      <c r="G18" s="32">
        <v>13810.02</v>
      </c>
      <c r="H18" s="32">
        <f t="shared" ref="H18:H26" si="1">F18</f>
        <v>25154.109999999997</v>
      </c>
      <c r="I18" s="32">
        <v>3773.12</v>
      </c>
      <c r="K18" s="32">
        <f t="shared" ref="K18:K26" si="2">G18-I18</f>
        <v>10036.900000000001</v>
      </c>
    </row>
    <row r="19" spans="2:11" x14ac:dyDescent="0.25">
      <c r="B19" s="52" t="s">
        <v>6</v>
      </c>
      <c r="C19" s="129" t="s">
        <v>7</v>
      </c>
      <c r="D19" s="52" t="s">
        <v>72</v>
      </c>
      <c r="E19" s="128">
        <v>42668</v>
      </c>
      <c r="F19" s="32">
        <f>1294.8+5989.28+15154.83+999.43</f>
        <v>23438.34</v>
      </c>
      <c r="G19" s="32">
        <v>3870.37</v>
      </c>
      <c r="H19" s="32">
        <f t="shared" si="1"/>
        <v>23438.34</v>
      </c>
      <c r="I19" s="32">
        <f>3515.75+354.62</f>
        <v>3870.37</v>
      </c>
      <c r="K19" s="32">
        <f t="shared" si="2"/>
        <v>0</v>
      </c>
    </row>
    <row r="20" spans="2:11" x14ac:dyDescent="0.25">
      <c r="B20" s="52" t="s">
        <v>6</v>
      </c>
      <c r="C20" s="129" t="s">
        <v>8</v>
      </c>
      <c r="D20" s="52" t="s">
        <v>72</v>
      </c>
      <c r="E20" s="128">
        <v>42668</v>
      </c>
      <c r="F20" s="32">
        <f>2691.1+21453.92+18432.25+1531.59+10014.24</f>
        <v>54123.099999999991</v>
      </c>
      <c r="G20" s="32">
        <v>8120.59</v>
      </c>
      <c r="H20" s="32">
        <f t="shared" si="1"/>
        <v>54123.099999999991</v>
      </c>
      <c r="I20" s="32">
        <f>8118.47+2.12</f>
        <v>8120.59</v>
      </c>
      <c r="K20" s="32">
        <f t="shared" si="2"/>
        <v>0</v>
      </c>
    </row>
    <row r="21" spans="2:11" x14ac:dyDescent="0.25">
      <c r="B21" s="52" t="s">
        <v>6</v>
      </c>
      <c r="C21" s="129" t="s">
        <v>26</v>
      </c>
      <c r="D21" s="52" t="s">
        <v>72</v>
      </c>
      <c r="E21" s="128">
        <v>42668</v>
      </c>
      <c r="F21" s="32">
        <f>2985+4322.18+3755+1411.02</f>
        <v>12473.2</v>
      </c>
      <c r="G21" s="32">
        <v>2433.19</v>
      </c>
      <c r="H21" s="32">
        <f t="shared" si="1"/>
        <v>12473.2</v>
      </c>
      <c r="I21" s="32">
        <f>1870.98+557.71</f>
        <v>2428.69</v>
      </c>
      <c r="K21" s="32">
        <f t="shared" si="2"/>
        <v>4.5</v>
      </c>
    </row>
    <row r="22" spans="2:11" x14ac:dyDescent="0.25">
      <c r="B22" s="52" t="s">
        <v>6</v>
      </c>
      <c r="C22" s="129" t="s">
        <v>30</v>
      </c>
      <c r="D22" s="52" t="s">
        <v>72</v>
      </c>
      <c r="E22" s="128">
        <v>42668</v>
      </c>
      <c r="F22" s="32">
        <f>2799.85+14319.44+19700.31+2623.75+1246.89</f>
        <v>40690.240000000005</v>
      </c>
      <c r="G22" s="32">
        <v>6155.84</v>
      </c>
      <c r="H22" s="32">
        <f t="shared" si="1"/>
        <v>40690.240000000005</v>
      </c>
      <c r="I22" s="32">
        <f>6103.54+52.3</f>
        <v>6155.84</v>
      </c>
      <c r="K22" s="32">
        <f t="shared" si="2"/>
        <v>0</v>
      </c>
    </row>
    <row r="23" spans="2:11" x14ac:dyDescent="0.25">
      <c r="B23" s="52" t="s">
        <v>6</v>
      </c>
      <c r="C23" s="129" t="s">
        <v>31</v>
      </c>
      <c r="D23" s="52" t="s">
        <v>72</v>
      </c>
      <c r="E23" s="128">
        <v>42668</v>
      </c>
      <c r="F23" s="32">
        <f>2058.8+8883.12+11111.34+22389.24+1137.69</f>
        <v>45580.19</v>
      </c>
      <c r="G23" s="32">
        <v>6840.03</v>
      </c>
      <c r="H23" s="32">
        <f t="shared" si="1"/>
        <v>45580.19</v>
      </c>
      <c r="I23" s="32">
        <f>0.15*F23+3</f>
        <v>6840.0285000000003</v>
      </c>
      <c r="K23" s="32">
        <f t="shared" si="2"/>
        <v>1.4999999993960955E-3</v>
      </c>
    </row>
    <row r="24" spans="2:11" x14ac:dyDescent="0.25">
      <c r="B24" s="52" t="s">
        <v>6</v>
      </c>
      <c r="C24" s="129" t="s">
        <v>33</v>
      </c>
      <c r="D24" s="52" t="s">
        <v>72</v>
      </c>
      <c r="E24" s="128">
        <v>42668</v>
      </c>
      <c r="F24" s="32">
        <f>813.82+1723.46+1300.56+8637.13</f>
        <v>12474.97</v>
      </c>
      <c r="G24" s="32">
        <v>2433.19</v>
      </c>
      <c r="H24" s="32">
        <f t="shared" si="1"/>
        <v>12474.97</v>
      </c>
      <c r="I24" s="32">
        <f>1871.25+561.94</f>
        <v>2433.19</v>
      </c>
      <c r="K24" s="32">
        <f t="shared" si="2"/>
        <v>0</v>
      </c>
    </row>
    <row r="25" spans="2:11" x14ac:dyDescent="0.25">
      <c r="B25" s="52" t="s">
        <v>6</v>
      </c>
      <c r="C25" s="129" t="s">
        <v>34</v>
      </c>
      <c r="D25" s="52" t="s">
        <v>72</v>
      </c>
      <c r="E25" s="128">
        <v>42668</v>
      </c>
      <c r="F25" s="32">
        <f>5241.54+16332.88+21755.92+637.31</f>
        <v>43967.649999999994</v>
      </c>
      <c r="G25" s="32">
        <v>6597.05</v>
      </c>
      <c r="H25" s="32">
        <f t="shared" si="1"/>
        <v>43967.649999999994</v>
      </c>
      <c r="I25" s="32">
        <f>6595.15+1.9</f>
        <v>6597.0499999999993</v>
      </c>
      <c r="K25" s="32">
        <f t="shared" si="2"/>
        <v>0</v>
      </c>
    </row>
    <row r="26" spans="2:11" x14ac:dyDescent="0.25">
      <c r="B26" s="52" t="s">
        <v>6</v>
      </c>
      <c r="C26" s="129" t="s">
        <v>109</v>
      </c>
      <c r="D26" s="52" t="s">
        <v>72</v>
      </c>
      <c r="E26" s="128">
        <v>42668</v>
      </c>
      <c r="F26" s="32">
        <f>1288.01+569.8+5377.05+2458.78</f>
        <v>9693.6400000000012</v>
      </c>
      <c r="G26" s="32">
        <v>2067.67</v>
      </c>
      <c r="H26" s="32">
        <f t="shared" si="1"/>
        <v>9693.6400000000012</v>
      </c>
      <c r="I26" s="32">
        <f>1454.05+613.61</f>
        <v>2067.66</v>
      </c>
      <c r="K26" s="32">
        <f t="shared" si="2"/>
        <v>1.0000000000218279E-2</v>
      </c>
    </row>
    <row r="27" spans="2:11" x14ac:dyDescent="0.25">
      <c r="B27" s="52" t="s">
        <v>6</v>
      </c>
      <c r="C27" s="129" t="s">
        <v>36</v>
      </c>
      <c r="D27" s="52" t="s">
        <v>72</v>
      </c>
      <c r="E27" s="128">
        <v>42668</v>
      </c>
      <c r="F27" s="32">
        <f>814.17+2136.91+623.48</f>
        <v>3574.56</v>
      </c>
      <c r="G27" s="32">
        <v>829.81</v>
      </c>
      <c r="H27" s="32">
        <f t="shared" ref="H27:H33" si="3">F27</f>
        <v>3574.56</v>
      </c>
      <c r="I27" s="32">
        <f>536.18+293.63</f>
        <v>829.81</v>
      </c>
      <c r="K27" s="32">
        <f t="shared" ref="K27:K33" si="4">G27-I27</f>
        <v>0</v>
      </c>
    </row>
    <row r="28" spans="2:11" x14ac:dyDescent="0.25">
      <c r="B28" s="52" t="s">
        <v>6</v>
      </c>
      <c r="C28" s="129" t="s">
        <v>44</v>
      </c>
      <c r="D28" s="52" t="s">
        <v>72</v>
      </c>
      <c r="E28" s="128">
        <v>42668</v>
      </c>
      <c r="F28" s="32">
        <f>1376.63+10581.25+3010.8+2695.03</f>
        <v>17663.71</v>
      </c>
      <c r="G28" s="32">
        <v>3114.39</v>
      </c>
      <c r="H28" s="32">
        <f t="shared" si="3"/>
        <v>17663.71</v>
      </c>
      <c r="I28" s="32">
        <f>2649.56+464.83</f>
        <v>3114.39</v>
      </c>
      <c r="K28" s="32">
        <f t="shared" si="4"/>
        <v>0</v>
      </c>
    </row>
    <row r="29" spans="2:11" x14ac:dyDescent="0.25">
      <c r="B29" s="52" t="s">
        <v>6</v>
      </c>
      <c r="C29" s="129" t="s">
        <v>45</v>
      </c>
      <c r="D29" s="52" t="s">
        <v>72</v>
      </c>
      <c r="E29" s="128">
        <v>42668</v>
      </c>
      <c r="F29" s="32">
        <f>1120+26401.77+13346.91+60</f>
        <v>40928.68</v>
      </c>
      <c r="G29" s="32">
        <v>6163.3</v>
      </c>
      <c r="H29" s="32">
        <f t="shared" si="3"/>
        <v>40928.68</v>
      </c>
      <c r="I29" s="32">
        <f>6139.3+24</f>
        <v>6163.3</v>
      </c>
      <c r="K29" s="32">
        <f t="shared" si="4"/>
        <v>0</v>
      </c>
    </row>
    <row r="30" spans="2:11" x14ac:dyDescent="0.25">
      <c r="B30" s="52" t="s">
        <v>6</v>
      </c>
      <c r="C30" s="129" t="s">
        <v>54</v>
      </c>
      <c r="D30" s="52" t="s">
        <v>72</v>
      </c>
      <c r="E30" s="128">
        <v>42668</v>
      </c>
      <c r="F30" s="32">
        <v>1155.1199999999999</v>
      </c>
      <c r="G30" s="32">
        <v>514.12</v>
      </c>
      <c r="H30" s="32">
        <f t="shared" si="3"/>
        <v>1155.1199999999999</v>
      </c>
      <c r="I30" s="32">
        <f>173.27+340.84</f>
        <v>514.11</v>
      </c>
      <c r="K30" s="32">
        <f t="shared" si="4"/>
        <v>9.9999999999909051E-3</v>
      </c>
    </row>
    <row r="31" spans="2:11" x14ac:dyDescent="0.25">
      <c r="B31" s="52" t="s">
        <v>6</v>
      </c>
      <c r="C31" s="129" t="s">
        <v>55</v>
      </c>
      <c r="D31" s="52" t="s">
        <v>72</v>
      </c>
      <c r="E31" s="128">
        <v>42668</v>
      </c>
      <c r="F31" s="32">
        <f>959.53+5750+2100.76</f>
        <v>8810.2900000000009</v>
      </c>
      <c r="G31" s="32">
        <v>1951.34</v>
      </c>
      <c r="H31" s="32">
        <f t="shared" si="3"/>
        <v>8810.2900000000009</v>
      </c>
      <c r="I31" s="32">
        <f>1321.54+629.8</f>
        <v>1951.34</v>
      </c>
      <c r="K31" s="32">
        <f t="shared" si="4"/>
        <v>0</v>
      </c>
    </row>
    <row r="32" spans="2:11" x14ac:dyDescent="0.25">
      <c r="B32" s="52" t="s">
        <v>6</v>
      </c>
      <c r="C32" s="129" t="s">
        <v>56</v>
      </c>
      <c r="D32" s="52" t="s">
        <v>72</v>
      </c>
      <c r="E32" s="128">
        <v>42668</v>
      </c>
      <c r="F32" s="32">
        <f>4313.11+12734.32+9527.63+1192.14</f>
        <v>27767.199999999997</v>
      </c>
      <c r="G32" s="32">
        <v>4443.6099999999997</v>
      </c>
      <c r="H32" s="32">
        <f t="shared" si="3"/>
        <v>27767.199999999997</v>
      </c>
      <c r="I32" s="32">
        <f>4165.08+278.53</f>
        <v>4443.6099999999997</v>
      </c>
      <c r="K32" s="32">
        <f t="shared" si="4"/>
        <v>0</v>
      </c>
    </row>
    <row r="33" spans="2:11" x14ac:dyDescent="0.25">
      <c r="B33" s="52" t="s">
        <v>6</v>
      </c>
      <c r="C33" s="129" t="s">
        <v>115</v>
      </c>
      <c r="D33" s="52" t="s">
        <v>72</v>
      </c>
      <c r="E33" s="128">
        <v>42668</v>
      </c>
      <c r="F33" s="32">
        <f>16824.1+103278.23+75680.64+17354.29+8226.08</f>
        <v>221363.33999999997</v>
      </c>
      <c r="G33" s="32">
        <v>33208.15</v>
      </c>
      <c r="H33" s="32">
        <f t="shared" si="3"/>
        <v>221363.33999999997</v>
      </c>
      <c r="I33" s="32">
        <f>33204.5+3.65</f>
        <v>33208.15</v>
      </c>
      <c r="K33" s="32">
        <f t="shared" si="4"/>
        <v>0</v>
      </c>
    </row>
    <row r="34" spans="2:11" x14ac:dyDescent="0.25">
      <c r="B34" s="52" t="s">
        <v>6</v>
      </c>
      <c r="C34" s="129" t="s">
        <v>60</v>
      </c>
      <c r="D34" s="52" t="s">
        <v>72</v>
      </c>
      <c r="E34" s="128">
        <v>42668</v>
      </c>
      <c r="F34" s="32">
        <f>1234.91+8854.8+3944.56+626.2+1525.49</f>
        <v>16185.96</v>
      </c>
      <c r="G34" s="32">
        <v>2923.3</v>
      </c>
      <c r="H34" s="32">
        <f>F34</f>
        <v>16185.96</v>
      </c>
      <c r="I34" s="32">
        <f>2427.89+495.41</f>
        <v>2923.2999999999997</v>
      </c>
      <c r="K34" s="32">
        <f t="shared" ref="K34:K39" si="5">G34-I34</f>
        <v>0</v>
      </c>
    </row>
    <row r="35" spans="2:11" x14ac:dyDescent="0.25">
      <c r="B35" s="52" t="s">
        <v>6</v>
      </c>
      <c r="C35" s="129" t="s">
        <v>62</v>
      </c>
      <c r="D35" s="52" t="s">
        <v>72</v>
      </c>
      <c r="E35" s="128">
        <v>42668</v>
      </c>
      <c r="F35" s="32">
        <f>75+911.16+245.27</f>
        <v>1231.43</v>
      </c>
      <c r="G35" s="32">
        <v>522.42999999999995</v>
      </c>
      <c r="H35" s="32">
        <f>F35</f>
        <v>1231.43</v>
      </c>
      <c r="I35" s="32">
        <f>184.71+17.2</f>
        <v>201.91</v>
      </c>
      <c r="K35" s="32">
        <f t="shared" si="5"/>
        <v>320.52</v>
      </c>
    </row>
    <row r="36" spans="2:11" x14ac:dyDescent="0.25">
      <c r="B36" s="52" t="s">
        <v>6</v>
      </c>
      <c r="C36" s="129" t="s">
        <v>63</v>
      </c>
      <c r="D36" s="52" t="s">
        <v>72</v>
      </c>
      <c r="E36" s="128">
        <v>42668</v>
      </c>
      <c r="F36" s="32">
        <f>283.37+115.74+637.71</f>
        <v>1036.8200000000002</v>
      </c>
      <c r="G36" s="32">
        <v>497.51</v>
      </c>
      <c r="H36" s="32">
        <f>F36</f>
        <v>1036.8200000000002</v>
      </c>
      <c r="I36" s="32">
        <f>0.15*F36+341.99</f>
        <v>497.51300000000003</v>
      </c>
      <c r="K36" s="32">
        <f t="shared" si="5"/>
        <v>-3.0000000000427463E-3</v>
      </c>
    </row>
    <row r="37" spans="2:11" x14ac:dyDescent="0.25">
      <c r="B37" s="52" t="s">
        <v>6</v>
      </c>
      <c r="C37" s="129" t="s">
        <v>67</v>
      </c>
      <c r="D37" s="52" t="s">
        <v>72</v>
      </c>
      <c r="E37" s="128">
        <v>42668</v>
      </c>
      <c r="F37" s="32">
        <f>2004.91+18536.58+7967.31+150.39+2305.64</f>
        <v>30964.83</v>
      </c>
      <c r="G37" s="32">
        <v>4859.01</v>
      </c>
      <c r="H37" s="32">
        <f t="shared" ref="H37:H42" si="6">F37</f>
        <v>30964.83</v>
      </c>
      <c r="I37" s="32">
        <f>4644.72+214.29</f>
        <v>4859.01</v>
      </c>
      <c r="K37" s="32">
        <f t="shared" si="5"/>
        <v>0</v>
      </c>
    </row>
    <row r="38" spans="2:11" x14ac:dyDescent="0.25">
      <c r="B38" s="52" t="s">
        <v>6</v>
      </c>
      <c r="C38" s="129" t="s">
        <v>64</v>
      </c>
      <c r="D38" s="52" t="s">
        <v>72</v>
      </c>
      <c r="E38" s="128">
        <v>42668</v>
      </c>
      <c r="F38" s="32">
        <f>3618.77+4316.7+10563.42+1463.57</f>
        <v>19962.46</v>
      </c>
      <c r="G38" s="32">
        <v>3413.46</v>
      </c>
      <c r="H38" s="32">
        <f t="shared" si="6"/>
        <v>19962.46</v>
      </c>
      <c r="I38" s="32">
        <f>2994.37+419.09</f>
        <v>3413.46</v>
      </c>
      <c r="K38" s="32">
        <f t="shared" si="5"/>
        <v>0</v>
      </c>
    </row>
    <row r="39" spans="2:11" x14ac:dyDescent="0.25">
      <c r="B39" s="52" t="s">
        <v>49</v>
      </c>
      <c r="C39" s="129" t="s">
        <v>50</v>
      </c>
      <c r="D39" s="52" t="s">
        <v>72</v>
      </c>
      <c r="E39" s="128">
        <v>42670</v>
      </c>
      <c r="F39" s="32">
        <f>29+11902.17+3989.92</f>
        <v>15921.09</v>
      </c>
      <c r="G39" s="32">
        <v>2496.19</v>
      </c>
      <c r="H39" s="32">
        <f t="shared" si="6"/>
        <v>15921.09</v>
      </c>
      <c r="I39" s="32">
        <f>2388.16+91.59+16.44</f>
        <v>2496.19</v>
      </c>
      <c r="K39" s="32">
        <f t="shared" si="5"/>
        <v>0</v>
      </c>
    </row>
    <row r="40" spans="2:11" x14ac:dyDescent="0.25">
      <c r="B40" s="52" t="s">
        <v>40</v>
      </c>
      <c r="C40" s="129" t="s">
        <v>41</v>
      </c>
      <c r="D40" s="52" t="s">
        <v>72</v>
      </c>
      <c r="E40" s="128">
        <v>42670</v>
      </c>
      <c r="F40" s="32">
        <f>2266.45+8741.45+800+598.08</f>
        <v>12405.980000000001</v>
      </c>
      <c r="G40" s="32">
        <v>575.9</v>
      </c>
      <c r="H40" s="32">
        <f t="shared" si="6"/>
        <v>12405.980000000001</v>
      </c>
      <c r="I40" s="32">
        <f>G40</f>
        <v>575.9</v>
      </c>
    </row>
    <row r="41" spans="2:11" x14ac:dyDescent="0.25">
      <c r="B41" s="52" t="s">
        <v>11</v>
      </c>
      <c r="C41" s="129" t="s">
        <v>102</v>
      </c>
      <c r="D41" s="52" t="s">
        <v>72</v>
      </c>
      <c r="E41" s="128">
        <v>42670</v>
      </c>
      <c r="F41" s="32">
        <f>9812.71+17336+14863.68+35+1985.77</f>
        <v>44033.159999999996</v>
      </c>
      <c r="G41" s="32">
        <v>6256.37</v>
      </c>
      <c r="H41" s="32">
        <f t="shared" si="6"/>
        <v>44033.159999999996</v>
      </c>
      <c r="I41" s="32">
        <f>G41</f>
        <v>6256.37</v>
      </c>
    </row>
    <row r="42" spans="2:11" x14ac:dyDescent="0.25">
      <c r="B42" s="52" t="s">
        <v>35</v>
      </c>
      <c r="C42" s="129" t="s">
        <v>108</v>
      </c>
      <c r="D42" s="52" t="s">
        <v>72</v>
      </c>
      <c r="E42" s="128">
        <v>42670</v>
      </c>
      <c r="F42" s="32">
        <f>1827.04+31587.04+14871.54</f>
        <v>48285.62</v>
      </c>
      <c r="G42" s="32">
        <v>4749.17</v>
      </c>
      <c r="H42" s="32">
        <f t="shared" si="6"/>
        <v>48285.62</v>
      </c>
      <c r="I42" s="32">
        <f>G42</f>
        <v>4749.17</v>
      </c>
    </row>
    <row r="43" spans="2:11" x14ac:dyDescent="0.25">
      <c r="B43" s="52" t="s">
        <v>148</v>
      </c>
      <c r="C43" s="129" t="s">
        <v>17</v>
      </c>
      <c r="D43" s="52" t="s">
        <v>72</v>
      </c>
      <c r="E43" s="128">
        <v>42671</v>
      </c>
      <c r="F43" s="32">
        <v>0</v>
      </c>
      <c r="G43" s="32">
        <v>0</v>
      </c>
      <c r="H43" s="32">
        <v>0</v>
      </c>
      <c r="I43" s="32">
        <v>0</v>
      </c>
    </row>
    <row r="44" spans="2:11" x14ac:dyDescent="0.25">
      <c r="B44" s="52" t="s">
        <v>20</v>
      </c>
      <c r="C44" s="129" t="s">
        <v>18</v>
      </c>
      <c r="D44" s="52" t="s">
        <v>72</v>
      </c>
      <c r="E44" s="128">
        <v>42669</v>
      </c>
      <c r="F44" s="32">
        <f>5828.26+2162.79+2531.84+9113.69</f>
        <v>19636.580000000002</v>
      </c>
      <c r="G44" s="32">
        <v>25598.87</v>
      </c>
      <c r="H44" s="32">
        <f>F44</f>
        <v>19636.580000000002</v>
      </c>
      <c r="I44" s="32">
        <v>2945.49</v>
      </c>
      <c r="K44" s="32">
        <f>G44-I44</f>
        <v>22653.379999999997</v>
      </c>
    </row>
    <row r="45" spans="2:11" x14ac:dyDescent="0.25">
      <c r="B45" s="52" t="s">
        <v>20</v>
      </c>
      <c r="C45" s="129" t="s">
        <v>22</v>
      </c>
      <c r="D45" s="52" t="s">
        <v>72</v>
      </c>
      <c r="E45" s="128">
        <v>42669</v>
      </c>
      <c r="F45" s="32">
        <f>12884.88+22674.29+13155.17+1979.02+1683.07</f>
        <v>52376.429999999993</v>
      </c>
      <c r="G45" s="32">
        <v>17045.48</v>
      </c>
      <c r="H45" s="32">
        <f>F45</f>
        <v>52376.429999999993</v>
      </c>
      <c r="I45" s="32">
        <v>7856.46</v>
      </c>
      <c r="K45" s="32">
        <f>G45-I45</f>
        <v>9189.02</v>
      </c>
    </row>
    <row r="46" spans="2:11" x14ac:dyDescent="0.25">
      <c r="B46" s="52" t="s">
        <v>20</v>
      </c>
      <c r="C46" s="129" t="s">
        <v>21</v>
      </c>
      <c r="D46" s="52" t="s">
        <v>72</v>
      </c>
      <c r="E46" s="128">
        <v>42669</v>
      </c>
      <c r="F46" s="32">
        <v>27101.35</v>
      </c>
      <c r="G46" s="32">
        <v>6928.72</v>
      </c>
      <c r="H46" s="32">
        <f t="shared" ref="H46:H52" si="7">F46</f>
        <v>27101.35</v>
      </c>
      <c r="I46" s="32">
        <v>4065.2</v>
      </c>
      <c r="K46" s="32">
        <f>G46-I46</f>
        <v>2863.5200000000004</v>
      </c>
    </row>
    <row r="47" spans="2:11" x14ac:dyDescent="0.25">
      <c r="B47" s="52" t="s">
        <v>20</v>
      </c>
      <c r="C47" s="129" t="s">
        <v>46</v>
      </c>
      <c r="D47" s="52" t="s">
        <v>72</v>
      </c>
      <c r="E47" s="128">
        <v>42669</v>
      </c>
      <c r="F47" s="32">
        <f>10393.9+33773.23+26038.43+11188.45+3597.75</f>
        <v>84991.76</v>
      </c>
      <c r="G47" s="32">
        <v>33989.32</v>
      </c>
      <c r="H47" s="32">
        <f t="shared" si="7"/>
        <v>84991.76</v>
      </c>
      <c r="I47" s="32">
        <f>12748.76+2182.08</f>
        <v>14930.84</v>
      </c>
      <c r="K47" s="32">
        <f>G47-I47</f>
        <v>19058.48</v>
      </c>
    </row>
    <row r="48" spans="2:11" x14ac:dyDescent="0.25">
      <c r="B48" s="52" t="s">
        <v>12</v>
      </c>
      <c r="C48" s="129" t="s">
        <v>13</v>
      </c>
      <c r="D48" s="52" t="s">
        <v>72</v>
      </c>
      <c r="E48" s="128">
        <v>42669</v>
      </c>
      <c r="F48" s="32">
        <f>1649.64+2362.19+4274.44+90.44+2000</f>
        <v>10376.710000000001</v>
      </c>
      <c r="G48" s="32">
        <v>3300</v>
      </c>
      <c r="H48" s="32">
        <f t="shared" si="7"/>
        <v>10376.710000000001</v>
      </c>
      <c r="I48" s="32">
        <v>1556.51</v>
      </c>
      <c r="K48" s="32">
        <f>G48-I48</f>
        <v>1743.49</v>
      </c>
    </row>
    <row r="49" spans="2:11" x14ac:dyDescent="0.25">
      <c r="B49" s="52" t="s">
        <v>37</v>
      </c>
      <c r="C49" s="129" t="s">
        <v>38</v>
      </c>
      <c r="D49" s="52" t="s">
        <v>147</v>
      </c>
      <c r="E49" s="128">
        <v>42651</v>
      </c>
      <c r="F49" s="32">
        <f>104.76+3448.28+538.76</f>
        <v>4091.8</v>
      </c>
      <c r="G49" s="32">
        <v>0</v>
      </c>
      <c r="H49" s="32">
        <f t="shared" si="7"/>
        <v>4091.8</v>
      </c>
    </row>
    <row r="50" spans="2:11" x14ac:dyDescent="0.25">
      <c r="B50" s="52" t="s">
        <v>140</v>
      </c>
      <c r="C50" s="129" t="s">
        <v>116</v>
      </c>
      <c r="D50" s="52" t="s">
        <v>72</v>
      </c>
      <c r="E50" s="128">
        <v>42671</v>
      </c>
      <c r="F50" s="32">
        <f>18292.48+6508.35+4367.25</f>
        <v>29168.080000000002</v>
      </c>
      <c r="G50" s="32">
        <v>12396.39</v>
      </c>
      <c r="H50" s="32">
        <f t="shared" si="7"/>
        <v>29168.080000000002</v>
      </c>
      <c r="I50" s="32">
        <v>4375.2120000000004</v>
      </c>
      <c r="K50" s="32">
        <f>G50-I50</f>
        <v>8021.177999999999</v>
      </c>
    </row>
    <row r="51" spans="2:11" x14ac:dyDescent="0.25">
      <c r="B51" s="52" t="s">
        <v>3</v>
      </c>
      <c r="C51" s="129" t="s">
        <v>4</v>
      </c>
      <c r="D51" s="52" t="s">
        <v>147</v>
      </c>
      <c r="E51" s="128">
        <v>42674</v>
      </c>
      <c r="F51" s="32">
        <v>3942.2</v>
      </c>
      <c r="G51" s="32">
        <v>699.88</v>
      </c>
      <c r="H51" s="32">
        <f t="shared" si="7"/>
        <v>3942.2</v>
      </c>
      <c r="I51" s="32">
        <f>591.33+108.55</f>
        <v>699.88</v>
      </c>
      <c r="K51" s="32">
        <f>G51-I51</f>
        <v>0</v>
      </c>
    </row>
    <row r="52" spans="2:11" x14ac:dyDescent="0.25">
      <c r="B52" s="52" t="s">
        <v>145</v>
      </c>
      <c r="C52" s="129" t="s">
        <v>32</v>
      </c>
      <c r="D52" s="52" t="s">
        <v>147</v>
      </c>
      <c r="E52" s="128">
        <v>42674</v>
      </c>
      <c r="F52" s="32">
        <f>165+46.97+512.98+165+322.5</f>
        <v>1212.45</v>
      </c>
      <c r="G52" s="32">
        <v>1857.53</v>
      </c>
      <c r="H52" s="32">
        <f t="shared" si="7"/>
        <v>1212.45</v>
      </c>
      <c r="I52" s="32">
        <v>181.87</v>
      </c>
      <c r="K52" s="32">
        <f>G52-I52</f>
        <v>1675.6599999999999</v>
      </c>
    </row>
    <row r="53" spans="2:11" x14ac:dyDescent="0.25">
      <c r="B53" s="52" t="s">
        <v>149</v>
      </c>
      <c r="C53" s="129" t="s">
        <v>101</v>
      </c>
      <c r="D53" s="52" t="s">
        <v>72</v>
      </c>
      <c r="E53" s="128">
        <v>42676</v>
      </c>
      <c r="F53" s="32">
        <f>1060.14+36612.44+1087.83</f>
        <v>38760.410000000003</v>
      </c>
      <c r="G53" s="32">
        <v>0</v>
      </c>
      <c r="H53" s="32">
        <f>F53</f>
        <v>38760.410000000003</v>
      </c>
      <c r="I53" s="32">
        <v>0</v>
      </c>
    </row>
    <row r="54" spans="2:11" x14ac:dyDescent="0.25">
      <c r="B54" s="52" t="s">
        <v>144</v>
      </c>
      <c r="C54" s="129" t="s">
        <v>48</v>
      </c>
      <c r="D54" s="52" t="s">
        <v>74</v>
      </c>
      <c r="E54" s="128">
        <v>42682</v>
      </c>
      <c r="F54" s="32">
        <f>4740.9+2214.41+4113.68+3431.85</f>
        <v>14500.84</v>
      </c>
      <c r="G54" s="32">
        <v>6826.46</v>
      </c>
      <c r="H54" s="32">
        <f t="shared" ref="H54:H59" si="8">F54</f>
        <v>14500.84</v>
      </c>
      <c r="I54" s="32">
        <v>2175.13</v>
      </c>
      <c r="K54" s="32">
        <f>G54-I54</f>
        <v>4651.33</v>
      </c>
    </row>
    <row r="55" spans="2:11" x14ac:dyDescent="0.25">
      <c r="B55" s="52" t="s">
        <v>37</v>
      </c>
      <c r="C55" s="129" t="s">
        <v>38</v>
      </c>
      <c r="D55" s="52" t="s">
        <v>74</v>
      </c>
      <c r="E55" s="128">
        <v>42688</v>
      </c>
      <c r="F55" s="32">
        <f>406.92+5162.12+383.38</f>
        <v>5952.42</v>
      </c>
      <c r="G55" s="32">
        <v>7850.16</v>
      </c>
      <c r="H55" s="32">
        <f t="shared" si="8"/>
        <v>5952.42</v>
      </c>
      <c r="I55" s="32">
        <f>3047.93+782.48+1903.83+2115.92</f>
        <v>7850.16</v>
      </c>
      <c r="K55" s="32">
        <f>G55-I55</f>
        <v>0</v>
      </c>
    </row>
    <row r="56" spans="2:11" x14ac:dyDescent="0.25">
      <c r="B56" s="52" t="s">
        <v>14</v>
      </c>
      <c r="C56" s="129" t="s">
        <v>15</v>
      </c>
      <c r="D56" s="52" t="s">
        <v>72</v>
      </c>
      <c r="E56" s="128">
        <v>42688</v>
      </c>
      <c r="F56" s="32">
        <f>697.97+869.71+7500</f>
        <v>9067.68</v>
      </c>
      <c r="G56" s="32">
        <v>1925.07</v>
      </c>
      <c r="H56" s="32">
        <f t="shared" si="8"/>
        <v>9067.68</v>
      </c>
      <c r="I56" s="32">
        <f>1360.152+0.99</f>
        <v>1361.1420000000001</v>
      </c>
      <c r="K56" s="32">
        <f>G56-I56</f>
        <v>563.92799999999988</v>
      </c>
    </row>
    <row r="57" spans="2:11" x14ac:dyDescent="0.25">
      <c r="B57" s="52" t="s">
        <v>23</v>
      </c>
      <c r="C57" s="129" t="s">
        <v>104</v>
      </c>
      <c r="D57" s="52" t="s">
        <v>72</v>
      </c>
      <c r="E57" s="128">
        <v>42683</v>
      </c>
      <c r="F57" s="32">
        <f>2899.62+8742.67+2425.99+6189.99+129.41</f>
        <v>20387.68</v>
      </c>
      <c r="G57" s="32">
        <v>3058.15</v>
      </c>
      <c r="H57" s="32">
        <f t="shared" si="8"/>
        <v>20387.68</v>
      </c>
      <c r="I57" s="32">
        <f>G57</f>
        <v>3058.15</v>
      </c>
    </row>
    <row r="58" spans="2:11" x14ac:dyDescent="0.25">
      <c r="B58" s="52" t="s">
        <v>29</v>
      </c>
      <c r="C58" s="129" t="s">
        <v>106</v>
      </c>
      <c r="D58" s="52" t="s">
        <v>147</v>
      </c>
      <c r="E58" s="128">
        <v>42688</v>
      </c>
      <c r="F58" s="32">
        <f>6919.95+5032.08</f>
        <v>11952.029999999999</v>
      </c>
      <c r="G58" s="32">
        <v>184.87</v>
      </c>
      <c r="H58" s="32">
        <f t="shared" si="8"/>
        <v>11952.029999999999</v>
      </c>
      <c r="I58" s="32">
        <f>G58</f>
        <v>184.87</v>
      </c>
    </row>
    <row r="59" spans="2:11" x14ac:dyDescent="0.25">
      <c r="B59" s="52" t="s">
        <v>29</v>
      </c>
      <c r="C59" s="129" t="s">
        <v>106</v>
      </c>
      <c r="D59" s="52" t="s">
        <v>74</v>
      </c>
      <c r="E59" s="128">
        <v>42687</v>
      </c>
      <c r="F59" s="32">
        <f>392.2+3718.99+3637.66+63.48</f>
        <v>7812.329999999999</v>
      </c>
      <c r="G59" s="32">
        <v>179.6</v>
      </c>
      <c r="H59" s="32">
        <f t="shared" si="8"/>
        <v>7812.329999999999</v>
      </c>
      <c r="I59" s="32">
        <f>G59</f>
        <v>179.6</v>
      </c>
    </row>
    <row r="60" spans="2:11" x14ac:dyDescent="0.25">
      <c r="B60" s="52" t="s">
        <v>103</v>
      </c>
      <c r="C60" s="129" t="s">
        <v>19</v>
      </c>
      <c r="D60" s="52" t="s">
        <v>70</v>
      </c>
      <c r="E60" s="128">
        <v>42692</v>
      </c>
      <c r="F60" s="32">
        <f>1368.87+6356.17+4325.7+832.26</f>
        <v>12883</v>
      </c>
      <c r="G60" s="32">
        <v>5568.18</v>
      </c>
      <c r="H60" s="32">
        <f>F60</f>
        <v>12883</v>
      </c>
      <c r="I60" s="32">
        <f>0.15*F60+3635.73</f>
        <v>5568.18</v>
      </c>
      <c r="K60" s="32">
        <f>G60-I60</f>
        <v>0</v>
      </c>
    </row>
    <row r="61" spans="2:11" x14ac:dyDescent="0.25">
      <c r="B61" s="52" t="s">
        <v>145</v>
      </c>
      <c r="C61" s="129" t="s">
        <v>32</v>
      </c>
      <c r="D61" s="52" t="s">
        <v>74</v>
      </c>
      <c r="E61" s="128">
        <v>42704</v>
      </c>
      <c r="F61" s="32">
        <f>75+343.51+860.24+97.5+487.5</f>
        <v>1863.75</v>
      </c>
      <c r="G61" s="32">
        <v>1620.44</v>
      </c>
      <c r="H61" s="32">
        <f>F61</f>
        <v>1863.75</v>
      </c>
      <c r="I61" s="32">
        <v>279.5625</v>
      </c>
      <c r="K61" s="32">
        <f>G61-I61</f>
        <v>1340.8775000000001</v>
      </c>
    </row>
    <row r="62" spans="2:11" x14ac:dyDescent="0.25">
      <c r="B62" s="52" t="s">
        <v>3</v>
      </c>
      <c r="C62" s="129" t="s">
        <v>4</v>
      </c>
      <c r="D62" s="52" t="s">
        <v>74</v>
      </c>
      <c r="E62" s="128">
        <v>42704</v>
      </c>
      <c r="F62" s="32">
        <f>1978.58+6879.91+457.94+2967.96</f>
        <v>12284.39</v>
      </c>
      <c r="G62" s="32">
        <v>1054.75</v>
      </c>
      <c r="H62" s="32">
        <f>F62</f>
        <v>12284.39</v>
      </c>
      <c r="I62" s="32">
        <f>G62</f>
        <v>1054.75</v>
      </c>
    </row>
    <row r="63" spans="2:11" x14ac:dyDescent="0.25">
      <c r="B63" s="52" t="s">
        <v>144</v>
      </c>
      <c r="C63" s="129" t="s">
        <v>48</v>
      </c>
      <c r="D63" s="52" t="s">
        <v>75</v>
      </c>
      <c r="E63" s="128">
        <v>42710</v>
      </c>
      <c r="F63" s="32">
        <f>2583.95+7315.69+5657.56+3268.75</f>
        <v>18825.95</v>
      </c>
      <c r="G63" s="32">
        <v>3182.5</v>
      </c>
      <c r="H63" s="32">
        <f t="shared" ref="H63:H67" si="9">F63</f>
        <v>18825.95</v>
      </c>
      <c r="I63" s="32">
        <v>2823.89</v>
      </c>
      <c r="K63" s="32">
        <f>G63-I63</f>
        <v>358.61000000000013</v>
      </c>
    </row>
    <row r="64" spans="2:11" x14ac:dyDescent="0.25">
      <c r="B64" s="52" t="s">
        <v>103</v>
      </c>
      <c r="C64" s="129" t="s">
        <v>19</v>
      </c>
      <c r="D64" s="52" t="s">
        <v>71</v>
      </c>
      <c r="E64" s="128">
        <v>42710</v>
      </c>
      <c r="F64" s="32">
        <f>1642.61+3726.18+4287.16+1136.75</f>
        <v>10792.7</v>
      </c>
      <c r="G64" s="32">
        <v>1948.64</v>
      </c>
      <c r="H64" s="32">
        <f t="shared" si="9"/>
        <v>10792.7</v>
      </c>
      <c r="I64" s="32">
        <f>0.15*F64+329.74</f>
        <v>1948.645</v>
      </c>
      <c r="K64" s="32">
        <f>G64-I64</f>
        <v>-4.9999999998817657E-3</v>
      </c>
    </row>
    <row r="65" spans="2:11" x14ac:dyDescent="0.25">
      <c r="B65" s="52" t="s">
        <v>37</v>
      </c>
      <c r="C65" s="129" t="s">
        <v>38</v>
      </c>
      <c r="D65" s="52" t="s">
        <v>75</v>
      </c>
      <c r="E65" s="128">
        <v>42716</v>
      </c>
      <c r="F65" s="32">
        <f>471.93+4270.27+474.34</f>
        <v>5216.5400000000009</v>
      </c>
      <c r="G65" s="32">
        <v>0</v>
      </c>
      <c r="H65" s="32">
        <f t="shared" si="9"/>
        <v>5216.5400000000009</v>
      </c>
    </row>
    <row r="66" spans="2:11" x14ac:dyDescent="0.25">
      <c r="B66" s="52" t="s">
        <v>29</v>
      </c>
      <c r="C66" s="129" t="s">
        <v>106</v>
      </c>
      <c r="D66" s="52" t="s">
        <v>75</v>
      </c>
      <c r="E66" s="128">
        <v>42713</v>
      </c>
      <c r="F66" s="32">
        <f>1583.59+6312.39+355.98</f>
        <v>8251.9600000000009</v>
      </c>
      <c r="G66" s="32">
        <v>286.32</v>
      </c>
      <c r="H66" s="32">
        <f t="shared" si="9"/>
        <v>8251.9600000000009</v>
      </c>
      <c r="I66" s="32">
        <f>G66</f>
        <v>286.32</v>
      </c>
    </row>
    <row r="67" spans="2:11" ht="15" customHeight="1" x14ac:dyDescent="0.25">
      <c r="B67" s="52" t="s">
        <v>103</v>
      </c>
      <c r="C67" s="129" t="s">
        <v>19</v>
      </c>
      <c r="D67" s="52" t="s">
        <v>73</v>
      </c>
      <c r="E67" s="128">
        <v>42718</v>
      </c>
      <c r="F67" s="32">
        <v>10515.98</v>
      </c>
      <c r="G67" s="32">
        <v>5316.06</v>
      </c>
      <c r="H67" s="32">
        <f t="shared" si="9"/>
        <v>10515.98</v>
      </c>
      <c r="I67" s="32">
        <f>1577.4+10.22+1546.16+2182.28</f>
        <v>5316.06</v>
      </c>
      <c r="K67" s="32">
        <f>G67-I67</f>
        <v>0</v>
      </c>
    </row>
    <row r="68" spans="2:11" ht="15" customHeight="1" x14ac:dyDescent="0.25">
      <c r="B68" s="52" t="s">
        <v>103</v>
      </c>
      <c r="C68" s="129" t="s">
        <v>19</v>
      </c>
      <c r="D68" s="52" t="s">
        <v>74</v>
      </c>
      <c r="E68" s="128">
        <v>42726</v>
      </c>
      <c r="F68" s="32">
        <f>1570.27+1719.49+1668.24+2348.82</f>
        <v>7306.82</v>
      </c>
      <c r="G68" s="32">
        <v>6238.21</v>
      </c>
      <c r="H68" s="32">
        <f t="shared" ref="H68:H73" si="10">F68</f>
        <v>7306.82</v>
      </c>
      <c r="I68" s="32">
        <f>4182.82+1333.66</f>
        <v>5516.48</v>
      </c>
      <c r="K68" s="32">
        <f>G68-I68</f>
        <v>721.73000000000047</v>
      </c>
    </row>
    <row r="69" spans="2:11" ht="15" customHeight="1" x14ac:dyDescent="0.25">
      <c r="B69" s="52" t="s">
        <v>103</v>
      </c>
      <c r="C69" s="129" t="s">
        <v>19</v>
      </c>
      <c r="D69" s="52" t="s">
        <v>75</v>
      </c>
      <c r="E69" s="128">
        <v>42726</v>
      </c>
      <c r="F69" s="32">
        <f>750.34+46050.23+1455.38+1835.93</f>
        <v>50091.88</v>
      </c>
      <c r="G69" s="32">
        <v>3538.09</v>
      </c>
      <c r="H69" s="32">
        <f t="shared" si="10"/>
        <v>50091.88</v>
      </c>
      <c r="I69" s="32">
        <f>G69</f>
        <v>3538.09</v>
      </c>
    </row>
    <row r="70" spans="2:11" ht="15" customHeight="1" x14ac:dyDescent="0.25">
      <c r="B70" s="52" t="s">
        <v>14</v>
      </c>
      <c r="C70" s="129" t="s">
        <v>15</v>
      </c>
      <c r="D70" s="52" t="s">
        <v>76</v>
      </c>
      <c r="E70" s="128">
        <v>42727</v>
      </c>
      <c r="F70" s="32">
        <v>1339.95</v>
      </c>
      <c r="G70" s="32">
        <v>200</v>
      </c>
      <c r="H70" s="32">
        <f t="shared" si="10"/>
        <v>1339.95</v>
      </c>
      <c r="I70" s="32">
        <f>G70</f>
        <v>200</v>
      </c>
    </row>
    <row r="71" spans="2:11" ht="15" customHeight="1" x14ac:dyDescent="0.25">
      <c r="B71" s="52" t="s">
        <v>3</v>
      </c>
      <c r="C71" s="129" t="s">
        <v>4</v>
      </c>
      <c r="D71" s="52" t="s">
        <v>75</v>
      </c>
      <c r="E71" s="128">
        <v>42726</v>
      </c>
      <c r="F71" s="32">
        <f>1587.88+7580.8+1552.84+244.06</f>
        <v>10965.58</v>
      </c>
      <c r="G71" s="32">
        <v>1301.19</v>
      </c>
      <c r="H71" s="32">
        <f t="shared" si="10"/>
        <v>10965.58</v>
      </c>
      <c r="I71" s="32">
        <f>G71</f>
        <v>1301.19</v>
      </c>
    </row>
    <row r="72" spans="2:11" ht="15" customHeight="1" x14ac:dyDescent="0.25">
      <c r="B72" s="52" t="s">
        <v>145</v>
      </c>
      <c r="C72" s="129" t="s">
        <v>32</v>
      </c>
      <c r="D72" s="52" t="s">
        <v>75</v>
      </c>
      <c r="E72" s="128">
        <v>42734</v>
      </c>
      <c r="F72" s="32">
        <f>360+165+1117.5+180+1466.79</f>
        <v>3289.29</v>
      </c>
      <c r="G72" s="32">
        <v>2447.56</v>
      </c>
      <c r="H72" s="32">
        <f t="shared" si="10"/>
        <v>3289.29</v>
      </c>
      <c r="I72" s="32">
        <v>493.39</v>
      </c>
      <c r="K72" s="32">
        <f>G72-I72</f>
        <v>1954.17</v>
      </c>
    </row>
    <row r="73" spans="2:11" ht="15" customHeight="1" x14ac:dyDescent="0.25">
      <c r="B73" s="52" t="s">
        <v>39</v>
      </c>
      <c r="C73" s="129" t="s">
        <v>110</v>
      </c>
      <c r="D73" s="52" t="s">
        <v>72</v>
      </c>
      <c r="E73" s="128">
        <v>42741</v>
      </c>
      <c r="F73" s="32">
        <f>719.68+1037.47+365.5+578.5</f>
        <v>2701.15</v>
      </c>
      <c r="G73" s="32">
        <v>1725.5</v>
      </c>
      <c r="H73" s="32">
        <f t="shared" si="10"/>
        <v>2701.15</v>
      </c>
      <c r="I73" s="32">
        <f>0.15*F73+1320.33</f>
        <v>1725.5025000000001</v>
      </c>
      <c r="K73" s="32">
        <f>G73-I73</f>
        <v>-2.5000000000545697E-3</v>
      </c>
    </row>
    <row r="74" spans="2:11" ht="15" customHeight="1" x14ac:dyDescent="0.25">
      <c r="B74" s="52" t="s">
        <v>144</v>
      </c>
      <c r="C74" s="129" t="s">
        <v>48</v>
      </c>
      <c r="D74" s="52" t="s">
        <v>77</v>
      </c>
      <c r="E74" s="128">
        <v>42741</v>
      </c>
      <c r="F74" s="32">
        <f>4229.13+4874.04+10102.68</f>
        <v>19205.849999999999</v>
      </c>
      <c r="G74" s="32">
        <v>2145</v>
      </c>
      <c r="H74" s="32">
        <f>F74</f>
        <v>19205.849999999999</v>
      </c>
      <c r="I74" s="32">
        <f>G74</f>
        <v>2145</v>
      </c>
      <c r="K74" s="32">
        <f>G74-I74</f>
        <v>0</v>
      </c>
    </row>
    <row r="75" spans="2:11" ht="15" customHeight="1" x14ac:dyDescent="0.25">
      <c r="B75" s="52" t="s">
        <v>51</v>
      </c>
      <c r="C75" s="129" t="s">
        <v>52</v>
      </c>
      <c r="D75" s="52" t="s">
        <v>76</v>
      </c>
      <c r="E75" s="128">
        <v>42741</v>
      </c>
      <c r="F75" s="32">
        <f>2315+12135.63+4992.5+300+2856.67</f>
        <v>22599.799999999996</v>
      </c>
      <c r="G75" s="32">
        <v>1575</v>
      </c>
      <c r="H75" s="32">
        <f>F75</f>
        <v>22599.799999999996</v>
      </c>
      <c r="I75" s="32">
        <f>G75</f>
        <v>1575</v>
      </c>
    </row>
    <row r="76" spans="2:11" ht="15" customHeight="1" x14ac:dyDescent="0.25">
      <c r="B76" s="52" t="s">
        <v>37</v>
      </c>
      <c r="C76" s="129" t="s">
        <v>38</v>
      </c>
      <c r="D76" s="52" t="s">
        <v>77</v>
      </c>
      <c r="E76" s="128">
        <v>42746</v>
      </c>
      <c r="F76" s="32">
        <f>45+11932.74+714.46</f>
        <v>12692.2</v>
      </c>
      <c r="G76" s="32">
        <v>0</v>
      </c>
      <c r="H76" s="32">
        <f t="shared" ref="H76:H83" si="11">F76</f>
        <v>12692.2</v>
      </c>
    </row>
    <row r="77" spans="2:11" ht="15" customHeight="1" x14ac:dyDescent="0.25">
      <c r="B77" s="52" t="s">
        <v>39</v>
      </c>
      <c r="C77" s="129" t="s">
        <v>110</v>
      </c>
      <c r="D77" s="52" t="s">
        <v>76</v>
      </c>
      <c r="E77" s="128">
        <v>42752</v>
      </c>
      <c r="F77" s="32">
        <f>587.31+2083.12+1686.5+712.41+2882.96</f>
        <v>7952.3</v>
      </c>
      <c r="G77" s="32">
        <v>1436.5</v>
      </c>
      <c r="H77" s="32">
        <f t="shared" si="11"/>
        <v>7952.3</v>
      </c>
      <c r="I77" s="32">
        <f>0.15*F77+163.52</f>
        <v>1356.365</v>
      </c>
      <c r="K77" s="32">
        <f>G77-I77</f>
        <v>80.134999999999991</v>
      </c>
    </row>
    <row r="78" spans="2:11" ht="15" customHeight="1" x14ac:dyDescent="0.25">
      <c r="B78" s="52" t="s">
        <v>28</v>
      </c>
      <c r="C78" s="129" t="s">
        <v>105</v>
      </c>
      <c r="D78" s="52" t="s">
        <v>72</v>
      </c>
      <c r="E78" s="128">
        <v>42755</v>
      </c>
      <c r="F78" s="32">
        <f>2665.06+16858.9+2815.61+1937.76</f>
        <v>24277.33</v>
      </c>
      <c r="G78" s="32">
        <v>4231.18</v>
      </c>
      <c r="J78" s="32">
        <f>G78+F78</f>
        <v>28508.510000000002</v>
      </c>
    </row>
    <row r="79" spans="2:11" ht="15" customHeight="1" x14ac:dyDescent="0.25">
      <c r="B79" s="52" t="s">
        <v>57</v>
      </c>
      <c r="C79" s="129" t="s">
        <v>58</v>
      </c>
      <c r="D79" s="52" t="s">
        <v>152</v>
      </c>
      <c r="E79" s="128">
        <v>42755</v>
      </c>
      <c r="F79" s="32">
        <f>1008.23+2666.65+1012.43</f>
        <v>4687.3100000000004</v>
      </c>
      <c r="G79" s="32">
        <v>2042.82</v>
      </c>
      <c r="H79" s="32">
        <f t="shared" si="11"/>
        <v>4687.3100000000004</v>
      </c>
      <c r="I79" s="32">
        <f>703.1+833.01</f>
        <v>1536.1100000000001</v>
      </c>
      <c r="K79" s="32">
        <f>G79-I79</f>
        <v>506.70999999999981</v>
      </c>
    </row>
    <row r="80" spans="2:11" ht="15" customHeight="1" x14ac:dyDescent="0.25">
      <c r="B80" s="52" t="s">
        <v>9</v>
      </c>
      <c r="C80" s="129" t="s">
        <v>10</v>
      </c>
      <c r="D80" s="52" t="s">
        <v>76</v>
      </c>
      <c r="E80" s="128">
        <v>42758</v>
      </c>
      <c r="F80" s="32">
        <f>20487.13+88010.26+73500.69+1667.39+13983.57</f>
        <v>197649.04000000004</v>
      </c>
      <c r="G80" s="32">
        <v>29873.83</v>
      </c>
      <c r="H80" s="32">
        <f t="shared" si="11"/>
        <v>197649.04000000004</v>
      </c>
      <c r="I80" s="32">
        <f>29647.356+156.44</f>
        <v>29803.795999999998</v>
      </c>
      <c r="K80" s="32">
        <f>G80-I80</f>
        <v>70.034000000003289</v>
      </c>
    </row>
    <row r="81" spans="2:11" ht="15" customHeight="1" x14ac:dyDescent="0.25">
      <c r="B81" s="52" t="s">
        <v>24</v>
      </c>
      <c r="C81" s="129" t="s">
        <v>25</v>
      </c>
      <c r="D81" s="52" t="s">
        <v>76</v>
      </c>
      <c r="E81" s="128">
        <v>42759</v>
      </c>
      <c r="F81" s="32">
        <f>2430.92+11519.23+21122.09+62.5</f>
        <v>35134.74</v>
      </c>
      <c r="G81" s="32">
        <v>5270.21</v>
      </c>
      <c r="H81" s="32">
        <f t="shared" si="11"/>
        <v>35134.74</v>
      </c>
      <c r="I81" s="32">
        <f>G81</f>
        <v>5270.21</v>
      </c>
    </row>
    <row r="82" spans="2:11" ht="15" customHeight="1" x14ac:dyDescent="0.25">
      <c r="B82" s="52" t="s">
        <v>12</v>
      </c>
      <c r="C82" s="129" t="s">
        <v>13</v>
      </c>
      <c r="D82" s="52" t="s">
        <v>76</v>
      </c>
      <c r="E82" s="128">
        <v>42759</v>
      </c>
      <c r="F82" s="32">
        <f>1391.22+2572.74+4702.72+2229.84</f>
        <v>10896.52</v>
      </c>
      <c r="G82" s="32">
        <v>1975</v>
      </c>
      <c r="H82" s="32">
        <f t="shared" si="11"/>
        <v>10896.52</v>
      </c>
      <c r="I82" s="32">
        <f>0.15*F82</f>
        <v>1634.4780000000001</v>
      </c>
      <c r="K82" s="32">
        <f>G82-I82</f>
        <v>340.52199999999993</v>
      </c>
    </row>
    <row r="83" spans="2:11" ht="15" customHeight="1" x14ac:dyDescent="0.25">
      <c r="B83" s="52" t="s">
        <v>148</v>
      </c>
      <c r="C83" s="129" t="s">
        <v>17</v>
      </c>
      <c r="D83" s="52" t="s">
        <v>76</v>
      </c>
      <c r="E83" s="128">
        <v>42760</v>
      </c>
      <c r="F83" s="32">
        <f>114.8+220.39</f>
        <v>335.19</v>
      </c>
      <c r="G83" s="32">
        <v>50.27</v>
      </c>
      <c r="H83" s="32">
        <f t="shared" si="11"/>
        <v>335.19</v>
      </c>
      <c r="I83" s="32">
        <f>G83</f>
        <v>50.27</v>
      </c>
    </row>
    <row r="84" spans="2:11" ht="15" customHeight="1" x14ac:dyDescent="0.25">
      <c r="B84" s="52" t="s">
        <v>68</v>
      </c>
      <c r="C84" s="129" t="s">
        <v>69</v>
      </c>
      <c r="D84" s="52" t="s">
        <v>152</v>
      </c>
      <c r="E84" s="128">
        <v>42760</v>
      </c>
      <c r="F84" s="32">
        <v>0</v>
      </c>
      <c r="G84" s="32">
        <v>2057.65</v>
      </c>
      <c r="H84" s="32">
        <v>0</v>
      </c>
      <c r="I84" s="32">
        <v>0</v>
      </c>
      <c r="K84" s="32">
        <f>G84</f>
        <v>2057.65</v>
      </c>
    </row>
    <row r="85" spans="2:11" ht="15" customHeight="1" x14ac:dyDescent="0.25">
      <c r="B85" s="52" t="s">
        <v>40</v>
      </c>
      <c r="C85" s="129" t="s">
        <v>41</v>
      </c>
      <c r="D85" s="52" t="s">
        <v>76</v>
      </c>
      <c r="E85" s="128">
        <v>42761</v>
      </c>
      <c r="F85" s="32">
        <f>3210.75+6041.15+923.84+480.08</f>
        <v>10655.82</v>
      </c>
      <c r="G85" s="32">
        <v>1822.21</v>
      </c>
      <c r="H85" s="32">
        <f>F85</f>
        <v>10655.82</v>
      </c>
      <c r="I85" s="32">
        <f>G85</f>
        <v>1822.21</v>
      </c>
    </row>
    <row r="86" spans="2:11" ht="15" customHeight="1" x14ac:dyDescent="0.25">
      <c r="B86" s="52" t="s">
        <v>153</v>
      </c>
      <c r="C86" s="129" t="s">
        <v>27</v>
      </c>
      <c r="D86" s="52" t="s">
        <v>152</v>
      </c>
      <c r="E86" s="128">
        <v>42394</v>
      </c>
      <c r="F86" s="32">
        <f>3165.18+17962+6806.65+18802.79+2278</f>
        <v>49014.62</v>
      </c>
      <c r="G86" s="32">
        <v>7365.69</v>
      </c>
      <c r="H86" s="32">
        <f t="shared" ref="H86:H93" si="12">F86</f>
        <v>49014.62</v>
      </c>
      <c r="I86" s="32">
        <f>0.15*F86</f>
        <v>7352.1930000000002</v>
      </c>
      <c r="K86" s="32">
        <f>G86-I86</f>
        <v>13.496999999999389</v>
      </c>
    </row>
    <row r="87" spans="2:11" ht="15" customHeight="1" x14ac:dyDescent="0.25">
      <c r="B87" s="52" t="s">
        <v>149</v>
      </c>
      <c r="C87" s="129" t="s">
        <v>101</v>
      </c>
      <c r="D87" s="52" t="s">
        <v>76</v>
      </c>
      <c r="E87" s="128">
        <v>42761</v>
      </c>
      <c r="F87" s="32">
        <f>72.27+2488.48+823.11</f>
        <v>3383.86</v>
      </c>
      <c r="G87" s="32">
        <v>0</v>
      </c>
      <c r="H87" s="32">
        <f t="shared" si="12"/>
        <v>3383.86</v>
      </c>
      <c r="I87" s="32">
        <v>0</v>
      </c>
    </row>
    <row r="88" spans="2:11" ht="15" customHeight="1" x14ac:dyDescent="0.25">
      <c r="B88" s="52" t="s">
        <v>20</v>
      </c>
      <c r="C88" s="129" t="s">
        <v>22</v>
      </c>
      <c r="D88" s="52" t="s">
        <v>76</v>
      </c>
      <c r="E88" s="128">
        <v>42762</v>
      </c>
      <c r="F88" s="32">
        <f>5868.17+343.4+26297.96+2710.92</f>
        <v>35220.449999999997</v>
      </c>
      <c r="G88" s="32">
        <v>6084.49</v>
      </c>
      <c r="H88" s="32">
        <f t="shared" si="12"/>
        <v>35220.449999999997</v>
      </c>
      <c r="I88" s="32">
        <v>5283.0675000000001</v>
      </c>
      <c r="K88" s="32">
        <f>G88-I88</f>
        <v>801.42249999999967</v>
      </c>
    </row>
    <row r="89" spans="2:11" ht="15" customHeight="1" x14ac:dyDescent="0.25">
      <c r="B89" s="52" t="s">
        <v>20</v>
      </c>
      <c r="C89" s="129" t="s">
        <v>18</v>
      </c>
      <c r="D89" s="52" t="s">
        <v>76</v>
      </c>
      <c r="E89" s="128">
        <v>42762</v>
      </c>
      <c r="F89" s="32">
        <f>11901.04+21453.25+20544.21+23931.72+1134.03</f>
        <v>78964.25</v>
      </c>
      <c r="G89" s="32">
        <v>14703.79</v>
      </c>
      <c r="H89" s="32">
        <f t="shared" si="12"/>
        <v>78964.25</v>
      </c>
      <c r="I89" s="32">
        <v>11844.637500000001</v>
      </c>
      <c r="K89" s="32">
        <f>G89-I89</f>
        <v>2859.1525000000001</v>
      </c>
    </row>
    <row r="90" spans="2:11" ht="15" customHeight="1" x14ac:dyDescent="0.25">
      <c r="B90" s="52" t="s">
        <v>20</v>
      </c>
      <c r="C90" s="129" t="s">
        <v>21</v>
      </c>
      <c r="D90" s="52" t="s">
        <v>76</v>
      </c>
      <c r="E90" s="128">
        <v>42762</v>
      </c>
      <c r="F90" s="32">
        <f>1260.79+8611.63+10658.63+844.5+1425</f>
        <v>22800.549999999996</v>
      </c>
      <c r="G90" s="32">
        <v>6195.83</v>
      </c>
      <c r="H90" s="32">
        <f t="shared" si="12"/>
        <v>22800.549999999996</v>
      </c>
      <c r="I90" s="32">
        <v>3420.08</v>
      </c>
      <c r="K90" s="32">
        <f>G90-I90</f>
        <v>2775.75</v>
      </c>
    </row>
    <row r="91" spans="2:11" ht="15" customHeight="1" x14ac:dyDescent="0.25">
      <c r="B91" s="52" t="s">
        <v>20</v>
      </c>
      <c r="C91" s="129" t="s">
        <v>46</v>
      </c>
      <c r="D91" s="52" t="s">
        <v>76</v>
      </c>
      <c r="E91" s="128">
        <v>42762</v>
      </c>
      <c r="F91" s="32">
        <f>5667.97+31750.51+17707.28+1519.77+3751.45</f>
        <v>60396.979999999989</v>
      </c>
      <c r="G91" s="32">
        <v>9249.2199999999993</v>
      </c>
      <c r="H91" s="32">
        <f t="shared" si="12"/>
        <v>60396.979999999989</v>
      </c>
      <c r="I91" s="32">
        <v>9059.5470000000005</v>
      </c>
      <c r="K91" s="32">
        <f>G91-I91</f>
        <v>189.67299999999886</v>
      </c>
    </row>
    <row r="92" spans="2:11" ht="15" customHeight="1" x14ac:dyDescent="0.25">
      <c r="B92" s="52" t="s">
        <v>11</v>
      </c>
      <c r="C92" s="129" t="s">
        <v>102</v>
      </c>
      <c r="D92" s="52" t="s">
        <v>76</v>
      </c>
      <c r="E92" s="128">
        <v>42762</v>
      </c>
      <c r="F92" s="32">
        <f>5639.07+9818.91+11087.86+1343+2427.84</f>
        <v>30316.68</v>
      </c>
      <c r="G92" s="32">
        <v>4570.68</v>
      </c>
      <c r="H92" s="32">
        <f t="shared" si="12"/>
        <v>30316.68</v>
      </c>
      <c r="I92" s="32">
        <f>G92</f>
        <v>4570.68</v>
      </c>
    </row>
    <row r="93" spans="2:11" ht="15" customHeight="1" x14ac:dyDescent="0.25">
      <c r="B93" s="52" t="s">
        <v>49</v>
      </c>
      <c r="C93" s="129" t="s">
        <v>50</v>
      </c>
      <c r="D93" s="52" t="s">
        <v>76</v>
      </c>
      <c r="E93" s="128">
        <v>42762</v>
      </c>
      <c r="F93" s="32">
        <f>236.24+5151.1+2867.54</f>
        <v>8254.880000000001</v>
      </c>
      <c r="G93" s="32">
        <v>1344.89</v>
      </c>
      <c r="H93" s="32">
        <f t="shared" si="12"/>
        <v>8254.880000000001</v>
      </c>
      <c r="I93" s="32">
        <f>0.15*F93+102.22</f>
        <v>1340.4520000000002</v>
      </c>
      <c r="K93" s="32">
        <f>G93-I93</f>
        <v>4.4379999999998745</v>
      </c>
    </row>
    <row r="94" spans="2:11" ht="15" customHeight="1" x14ac:dyDescent="0.25">
      <c r="B94" s="52" t="s">
        <v>6</v>
      </c>
      <c r="C94" s="129" t="s">
        <v>7</v>
      </c>
      <c r="D94" s="52" t="s">
        <v>76</v>
      </c>
      <c r="E94" s="128">
        <v>42765</v>
      </c>
      <c r="F94" s="32">
        <f>300+4575.17+8398.56+4522.12+8000.75</f>
        <v>25796.6</v>
      </c>
      <c r="G94" s="32">
        <v>3514.87</v>
      </c>
      <c r="H94" s="32">
        <f t="shared" ref="H94:I99" si="13">F94</f>
        <v>25796.6</v>
      </c>
      <c r="I94" s="32">
        <f t="shared" si="13"/>
        <v>3514.87</v>
      </c>
    </row>
    <row r="95" spans="2:11" ht="15" customHeight="1" x14ac:dyDescent="0.25">
      <c r="B95" s="52" t="s">
        <v>6</v>
      </c>
      <c r="C95" s="129" t="s">
        <v>8</v>
      </c>
      <c r="D95" s="52" t="s">
        <v>76</v>
      </c>
      <c r="E95" s="128">
        <v>42765</v>
      </c>
      <c r="F95" s="32">
        <f>1469.85+18444.39+17418.73+4407.87+11471.63</f>
        <v>53212.47</v>
      </c>
      <c r="G95" s="32">
        <v>7979.75</v>
      </c>
      <c r="H95" s="32">
        <f t="shared" si="13"/>
        <v>53212.47</v>
      </c>
      <c r="I95" s="32">
        <f t="shared" si="13"/>
        <v>7979.75</v>
      </c>
    </row>
    <row r="96" spans="2:11" ht="15" customHeight="1" x14ac:dyDescent="0.25">
      <c r="B96" s="52" t="s">
        <v>6</v>
      </c>
      <c r="C96" s="129" t="s">
        <v>26</v>
      </c>
      <c r="D96" s="52" t="s">
        <v>76</v>
      </c>
      <c r="E96" s="128">
        <v>42765</v>
      </c>
      <c r="F96" s="32">
        <f>2535+12854.17+4660.51+14368.95</f>
        <v>34418.630000000005</v>
      </c>
      <c r="G96" s="32">
        <v>4605.08</v>
      </c>
      <c r="H96" s="32">
        <f t="shared" si="13"/>
        <v>34418.630000000005</v>
      </c>
      <c r="I96" s="32">
        <f t="shared" si="13"/>
        <v>4605.08</v>
      </c>
    </row>
    <row r="97" spans="2:9" ht="15" customHeight="1" x14ac:dyDescent="0.25">
      <c r="B97" s="52" t="s">
        <v>6</v>
      </c>
      <c r="C97" s="129" t="s">
        <v>30</v>
      </c>
      <c r="D97" s="52" t="s">
        <v>76</v>
      </c>
      <c r="E97" s="128">
        <v>42765</v>
      </c>
      <c r="F97" s="32">
        <f>2448.99+11233.45+36912.15+1629.29+14503.1</f>
        <v>66726.98000000001</v>
      </c>
      <c r="G97" s="32">
        <v>8774.44</v>
      </c>
      <c r="H97" s="32">
        <f t="shared" si="13"/>
        <v>66726.98000000001</v>
      </c>
      <c r="I97" s="32">
        <f t="shared" si="13"/>
        <v>8774.44</v>
      </c>
    </row>
    <row r="98" spans="2:9" ht="15" customHeight="1" x14ac:dyDescent="0.25">
      <c r="B98" s="52" t="s">
        <v>6</v>
      </c>
      <c r="C98" s="129" t="s">
        <v>31</v>
      </c>
      <c r="D98" s="52" t="s">
        <v>76</v>
      </c>
      <c r="E98" s="128">
        <v>42765</v>
      </c>
      <c r="F98" s="32">
        <f>1575.32+8880.99+10344.29+1908.29+12795.69</f>
        <v>35504.58</v>
      </c>
      <c r="G98" s="32">
        <v>5322.69</v>
      </c>
      <c r="H98" s="32">
        <f t="shared" si="13"/>
        <v>35504.58</v>
      </c>
      <c r="I98" s="32">
        <f t="shared" si="13"/>
        <v>5322.69</v>
      </c>
    </row>
    <row r="99" spans="2:9" ht="15" customHeight="1" x14ac:dyDescent="0.25">
      <c r="B99" s="52" t="s">
        <v>6</v>
      </c>
      <c r="C99" s="129" t="s">
        <v>33</v>
      </c>
      <c r="D99" s="52" t="s">
        <v>76</v>
      </c>
      <c r="E99" s="128">
        <v>42765</v>
      </c>
      <c r="F99" s="32">
        <f>2576.68+12501.73+2387.65+3616.7+17120.57</f>
        <v>38203.33</v>
      </c>
      <c r="G99" s="32">
        <v>5168.5600000000004</v>
      </c>
      <c r="H99" s="32">
        <f t="shared" si="13"/>
        <v>38203.33</v>
      </c>
      <c r="I99" s="32">
        <f t="shared" si="13"/>
        <v>5168.5600000000004</v>
      </c>
    </row>
    <row r="100" spans="2:9" ht="15" customHeight="1" x14ac:dyDescent="0.25">
      <c r="B100" s="52" t="s">
        <v>6</v>
      </c>
      <c r="C100" s="129" t="s">
        <v>36</v>
      </c>
      <c r="D100" s="52" t="s">
        <v>76</v>
      </c>
      <c r="E100" s="128">
        <v>42765</v>
      </c>
      <c r="F100" s="32">
        <f>2111.29+5134.66</f>
        <v>7245.95</v>
      </c>
      <c r="G100" s="32">
        <v>793.26</v>
      </c>
      <c r="H100" s="32">
        <f>F100</f>
        <v>7245.95</v>
      </c>
      <c r="I100" s="32">
        <f>G100</f>
        <v>793.26</v>
      </c>
    </row>
    <row r="101" spans="2:9" ht="15" customHeight="1" x14ac:dyDescent="0.25">
      <c r="B101" s="52" t="s">
        <v>6</v>
      </c>
      <c r="C101" s="129" t="s">
        <v>34</v>
      </c>
      <c r="D101" s="52" t="s">
        <v>76</v>
      </c>
      <c r="E101" s="128">
        <v>42765</v>
      </c>
      <c r="F101" s="32">
        <f>3146.66+30470.47+31428.7+45.54+4969.91</f>
        <v>70061.279999999999</v>
      </c>
      <c r="G101" s="32">
        <v>8608.09</v>
      </c>
      <c r="H101" s="32">
        <f t="shared" ref="H101:I105" si="14">F101</f>
        <v>70061.279999999999</v>
      </c>
      <c r="I101" s="32">
        <f t="shared" si="14"/>
        <v>8608.09</v>
      </c>
    </row>
    <row r="102" spans="2:9" ht="15" customHeight="1" x14ac:dyDescent="0.25">
      <c r="B102" s="52" t="s">
        <v>6</v>
      </c>
      <c r="C102" s="129" t="s">
        <v>109</v>
      </c>
      <c r="D102" s="52" t="s">
        <v>76</v>
      </c>
      <c r="E102" s="128">
        <v>42765</v>
      </c>
      <c r="F102" s="32">
        <f>1285.07+13990.69+9271.94+7338.09</f>
        <v>31885.79</v>
      </c>
      <c r="G102" s="32">
        <v>4169.25</v>
      </c>
      <c r="H102" s="32">
        <f t="shared" si="14"/>
        <v>31885.79</v>
      </c>
      <c r="I102" s="32">
        <f t="shared" si="14"/>
        <v>4169.25</v>
      </c>
    </row>
    <row r="103" spans="2:9" ht="15" customHeight="1" x14ac:dyDescent="0.25">
      <c r="B103" s="52" t="s">
        <v>6</v>
      </c>
      <c r="C103" s="129" t="s">
        <v>44</v>
      </c>
      <c r="D103" s="52" t="s">
        <v>76</v>
      </c>
      <c r="E103" s="128">
        <v>42765</v>
      </c>
      <c r="F103" s="32">
        <f>4330.39+17782.19+17012.19+46.02+3770.64</f>
        <v>42941.429999999993</v>
      </c>
      <c r="G103" s="32">
        <v>5976.38</v>
      </c>
      <c r="H103" s="32">
        <f t="shared" si="14"/>
        <v>42941.429999999993</v>
      </c>
      <c r="I103" s="32">
        <f t="shared" si="14"/>
        <v>5976.38</v>
      </c>
    </row>
    <row r="104" spans="2:9" ht="15" customHeight="1" x14ac:dyDescent="0.25">
      <c r="B104" s="52" t="s">
        <v>6</v>
      </c>
      <c r="C104" s="129" t="s">
        <v>45</v>
      </c>
      <c r="D104" s="52" t="s">
        <v>76</v>
      </c>
      <c r="E104" s="128">
        <v>42765</v>
      </c>
      <c r="F104" s="32">
        <f>1240+6078.29+20250.46+5711.01+690</f>
        <v>33969.760000000002</v>
      </c>
      <c r="G104" s="32">
        <v>5071.46</v>
      </c>
      <c r="H104" s="32">
        <f t="shared" si="14"/>
        <v>33969.760000000002</v>
      </c>
      <c r="I104" s="32">
        <f t="shared" si="14"/>
        <v>5071.46</v>
      </c>
    </row>
    <row r="105" spans="2:9" ht="15" customHeight="1" x14ac:dyDescent="0.25">
      <c r="B105" s="52" t="s">
        <v>6</v>
      </c>
      <c r="C105" s="129" t="s">
        <v>55</v>
      </c>
      <c r="D105" s="52" t="s">
        <v>76</v>
      </c>
      <c r="E105" s="128">
        <v>42765</v>
      </c>
      <c r="F105" s="32">
        <f>562.5+3542.54+5994.24+3519.65+7569.36</f>
        <v>21188.289999999997</v>
      </c>
      <c r="G105" s="32">
        <v>2548.44</v>
      </c>
      <c r="H105" s="32">
        <f t="shared" si="14"/>
        <v>21188.289999999997</v>
      </c>
      <c r="I105" s="32">
        <f t="shared" si="14"/>
        <v>2548.44</v>
      </c>
    </row>
    <row r="106" spans="2:9" ht="15" customHeight="1" x14ac:dyDescent="0.25">
      <c r="B106" s="52" t="s">
        <v>6</v>
      </c>
      <c r="C106" s="129" t="s">
        <v>54</v>
      </c>
      <c r="D106" s="52" t="s">
        <v>76</v>
      </c>
      <c r="E106" s="128">
        <v>42765</v>
      </c>
      <c r="F106" s="32">
        <f>50+292.56+8694.88</f>
        <v>9037.4399999999987</v>
      </c>
      <c r="G106" s="32">
        <v>1014.77</v>
      </c>
      <c r="H106" s="32">
        <v>9037.44</v>
      </c>
      <c r="I106" s="32">
        <f>G106</f>
        <v>1014.77</v>
      </c>
    </row>
    <row r="107" spans="2:9" ht="15" customHeight="1" x14ac:dyDescent="0.25">
      <c r="B107" s="52" t="s">
        <v>6</v>
      </c>
      <c r="C107" s="129" t="s">
        <v>56</v>
      </c>
      <c r="D107" s="52" t="s">
        <v>76</v>
      </c>
      <c r="E107" s="128">
        <v>42765</v>
      </c>
      <c r="F107" s="32">
        <f>900.08+16555.75+13498.38+2235.61+6782.61</f>
        <v>39972.43</v>
      </c>
      <c r="G107" s="32">
        <v>5717.33</v>
      </c>
      <c r="H107" s="32">
        <f t="shared" ref="H107:H113" si="15">F107</f>
        <v>39972.43</v>
      </c>
      <c r="I107" s="32">
        <f>G107</f>
        <v>5717.33</v>
      </c>
    </row>
    <row r="108" spans="2:9" ht="15" customHeight="1" x14ac:dyDescent="0.25">
      <c r="B108" s="52" t="s">
        <v>6</v>
      </c>
      <c r="C108" s="129" t="s">
        <v>115</v>
      </c>
      <c r="D108" s="52" t="s">
        <v>76</v>
      </c>
      <c r="E108" s="128">
        <v>42765</v>
      </c>
      <c r="F108" s="32">
        <f>7945.79+65229.81+67187.93+23444.65+21363.01</f>
        <v>185171.18999999997</v>
      </c>
      <c r="G108" s="32">
        <v>22740.89</v>
      </c>
      <c r="H108" s="32">
        <f t="shared" si="15"/>
        <v>185171.18999999997</v>
      </c>
      <c r="I108" s="32">
        <f>G108</f>
        <v>22740.89</v>
      </c>
    </row>
    <row r="109" spans="2:9" ht="15" customHeight="1" x14ac:dyDescent="0.25">
      <c r="B109" s="52" t="s">
        <v>6</v>
      </c>
      <c r="C109" s="129" t="s">
        <v>62</v>
      </c>
      <c r="D109" s="52" t="s">
        <v>76</v>
      </c>
      <c r="E109" s="128">
        <v>42765</v>
      </c>
      <c r="F109" s="32">
        <f>75+39.68</f>
        <v>114.68</v>
      </c>
      <c r="G109" s="32">
        <v>0</v>
      </c>
      <c r="H109" s="32">
        <f t="shared" si="15"/>
        <v>114.68</v>
      </c>
      <c r="I109" s="32">
        <v>0</v>
      </c>
    </row>
    <row r="110" spans="2:9" ht="15" customHeight="1" x14ac:dyDescent="0.25">
      <c r="B110" s="52" t="s">
        <v>6</v>
      </c>
      <c r="C110" s="129" t="s">
        <v>60</v>
      </c>
      <c r="D110" s="52" t="s">
        <v>76</v>
      </c>
      <c r="E110" s="128">
        <v>42765</v>
      </c>
      <c r="F110" s="32">
        <f>798.59+1163.98+3461.98+3640.5+7469.33</f>
        <v>16534.379999999997</v>
      </c>
      <c r="G110" s="32">
        <v>1984.75</v>
      </c>
      <c r="H110" s="32">
        <f t="shared" si="15"/>
        <v>16534.379999999997</v>
      </c>
      <c r="I110" s="32">
        <f t="shared" ref="I110:I115" si="16">G110</f>
        <v>1984.75</v>
      </c>
    </row>
    <row r="111" spans="2:9" ht="15" customHeight="1" x14ac:dyDescent="0.25">
      <c r="B111" s="52" t="s">
        <v>6</v>
      </c>
      <c r="C111" s="129" t="s">
        <v>63</v>
      </c>
      <c r="D111" s="52" t="s">
        <v>76</v>
      </c>
      <c r="E111" s="128">
        <v>42765</v>
      </c>
      <c r="F111" s="32">
        <f>384.86+2053.11+1001.19+1021.48+2172.05</f>
        <v>6632.6900000000005</v>
      </c>
      <c r="G111" s="32">
        <v>652.91</v>
      </c>
      <c r="H111" s="32">
        <f t="shared" si="15"/>
        <v>6632.6900000000005</v>
      </c>
      <c r="I111" s="32">
        <f t="shared" si="16"/>
        <v>652.91</v>
      </c>
    </row>
    <row r="112" spans="2:9" ht="15" customHeight="1" x14ac:dyDescent="0.25">
      <c r="B112" s="52" t="s">
        <v>6</v>
      </c>
      <c r="C112" s="129" t="s">
        <v>64</v>
      </c>
      <c r="D112" s="52" t="s">
        <v>76</v>
      </c>
      <c r="E112" s="128">
        <v>42765</v>
      </c>
      <c r="F112" s="32">
        <v>39127.29</v>
      </c>
      <c r="G112" s="32">
        <v>5450</v>
      </c>
      <c r="H112" s="32">
        <f t="shared" si="15"/>
        <v>39127.29</v>
      </c>
      <c r="I112" s="32">
        <f t="shared" si="16"/>
        <v>5450</v>
      </c>
    </row>
    <row r="113" spans="2:11" ht="15" customHeight="1" x14ac:dyDescent="0.25">
      <c r="B113" s="52" t="s">
        <v>6</v>
      </c>
      <c r="C113" s="129" t="s">
        <v>67</v>
      </c>
      <c r="D113" s="52" t="s">
        <v>76</v>
      </c>
      <c r="E113" s="128">
        <v>42765</v>
      </c>
      <c r="F113" s="32">
        <f>2730.32+21188.02+6706.14+14074.63+2968.24</f>
        <v>47667.35</v>
      </c>
      <c r="G113" s="32">
        <v>6935.81</v>
      </c>
      <c r="H113" s="32">
        <f t="shared" si="15"/>
        <v>47667.35</v>
      </c>
      <c r="I113" s="32">
        <f t="shared" si="16"/>
        <v>6935.81</v>
      </c>
    </row>
    <row r="114" spans="2:11" ht="15" customHeight="1" x14ac:dyDescent="0.25">
      <c r="B114" s="52" t="s">
        <v>3</v>
      </c>
      <c r="C114" s="129" t="s">
        <v>4</v>
      </c>
      <c r="D114" s="52" t="s">
        <v>77</v>
      </c>
      <c r="E114" s="128">
        <v>42765</v>
      </c>
      <c r="F114" s="32">
        <v>7025.89</v>
      </c>
      <c r="G114" s="32">
        <v>1458.91</v>
      </c>
      <c r="H114" s="32">
        <f>F114</f>
        <v>7025.89</v>
      </c>
      <c r="I114" s="32">
        <f t="shared" si="16"/>
        <v>1458.91</v>
      </c>
    </row>
    <row r="115" spans="2:11" ht="14.25" customHeight="1" x14ac:dyDescent="0.25">
      <c r="B115" s="52" t="s">
        <v>29</v>
      </c>
      <c r="C115" s="129" t="s">
        <v>106</v>
      </c>
      <c r="D115" s="52" t="s">
        <v>77</v>
      </c>
      <c r="E115" s="128">
        <v>42765</v>
      </c>
      <c r="F115" s="32">
        <f>312.12+7829.92+2493.43+433.62</f>
        <v>11069.09</v>
      </c>
      <c r="G115" s="32">
        <v>183.56</v>
      </c>
      <c r="H115" s="32">
        <f>F115</f>
        <v>11069.09</v>
      </c>
      <c r="I115" s="32">
        <f t="shared" si="16"/>
        <v>183.56</v>
      </c>
    </row>
    <row r="116" spans="2:11" ht="15" customHeight="1" x14ac:dyDescent="0.25">
      <c r="B116" s="52" t="s">
        <v>103</v>
      </c>
      <c r="C116" s="129" t="s">
        <v>19</v>
      </c>
      <c r="D116" s="52" t="s">
        <v>77</v>
      </c>
      <c r="E116" s="128">
        <v>42766</v>
      </c>
      <c r="F116" s="32">
        <f>886.98+901.97+3439.1+1444.95</f>
        <v>6673</v>
      </c>
      <c r="G116" s="32">
        <v>5328.73</v>
      </c>
      <c r="H116" s="32">
        <f>F116</f>
        <v>6673</v>
      </c>
      <c r="I116" s="32">
        <f>0.15*F116</f>
        <v>1000.9499999999999</v>
      </c>
      <c r="K116" s="32">
        <f>G116-I116</f>
        <v>4327.78</v>
      </c>
    </row>
    <row r="117" spans="2:11" ht="15" customHeight="1" x14ac:dyDescent="0.25">
      <c r="B117" s="52" t="s">
        <v>145</v>
      </c>
      <c r="C117" s="129" t="s">
        <v>32</v>
      </c>
      <c r="D117" s="52" t="s">
        <v>77</v>
      </c>
      <c r="E117" s="128">
        <v>42766</v>
      </c>
      <c r="F117" s="32">
        <v>4008</v>
      </c>
      <c r="G117" s="32">
        <v>2413.0300000000002</v>
      </c>
      <c r="H117" s="32">
        <f>F117</f>
        <v>4008</v>
      </c>
      <c r="I117" s="32">
        <f>0.15*F117</f>
        <v>601.19999999999993</v>
      </c>
      <c r="K117" s="32">
        <f>G117-I117</f>
        <v>1811.8300000000004</v>
      </c>
    </row>
    <row r="118" spans="2:11" ht="15" customHeight="1" x14ac:dyDescent="0.25">
      <c r="B118" s="52" t="s">
        <v>65</v>
      </c>
      <c r="C118" s="129" t="s">
        <v>66</v>
      </c>
      <c r="D118" s="52" t="s">
        <v>152</v>
      </c>
      <c r="E118" s="128">
        <v>42766</v>
      </c>
      <c r="F118" s="32">
        <f>4868.34+24550.67+22463.45</f>
        <v>51882.46</v>
      </c>
      <c r="G118" s="32">
        <v>10091.66</v>
      </c>
      <c r="H118" s="32">
        <f t="shared" ref="H118:H126" si="17">F118</f>
        <v>51882.46</v>
      </c>
      <c r="I118" s="32">
        <v>7782.3689999999997</v>
      </c>
      <c r="K118" s="32">
        <f>G118-I118</f>
        <v>2309.2910000000002</v>
      </c>
    </row>
    <row r="119" spans="2:11" ht="15" customHeight="1" x14ac:dyDescent="0.25">
      <c r="B119" s="52" t="s">
        <v>140</v>
      </c>
      <c r="C119" s="129" t="s">
        <v>116</v>
      </c>
      <c r="D119" s="52" t="s">
        <v>76</v>
      </c>
      <c r="E119" s="128">
        <v>42766</v>
      </c>
      <c r="F119" s="32">
        <f>1002.72+4123.83+5205+7500</f>
        <v>17831.55</v>
      </c>
      <c r="G119" s="32">
        <v>16972.38</v>
      </c>
      <c r="H119" s="32">
        <f t="shared" si="17"/>
        <v>17831.55</v>
      </c>
      <c r="I119" s="32">
        <f>0.15*F119</f>
        <v>2674.7324999999996</v>
      </c>
      <c r="K119" s="32">
        <f>G119-I119</f>
        <v>14297.647500000001</v>
      </c>
    </row>
    <row r="120" spans="2:11" ht="15" customHeight="1" x14ac:dyDescent="0.25">
      <c r="B120" s="52" t="s">
        <v>23</v>
      </c>
      <c r="C120" s="129" t="s">
        <v>104</v>
      </c>
      <c r="D120" s="52" t="s">
        <v>76</v>
      </c>
      <c r="E120" s="128">
        <v>42766</v>
      </c>
      <c r="F120" s="32">
        <f>1550.04+8932.64+3195.95+217+96.12</f>
        <v>13991.750000000002</v>
      </c>
      <c r="G120" s="32">
        <v>2098.8000000000002</v>
      </c>
      <c r="H120" s="32">
        <f t="shared" si="17"/>
        <v>13991.750000000002</v>
      </c>
      <c r="I120" s="32">
        <v>2098.7624999999998</v>
      </c>
      <c r="K120" s="32">
        <f>G120-I120</f>
        <v>3.7500000000363798E-2</v>
      </c>
    </row>
    <row r="121" spans="2:11" ht="15" customHeight="1" x14ac:dyDescent="0.25">
      <c r="B121" s="52" t="s">
        <v>53</v>
      </c>
      <c r="C121" s="129" t="s">
        <v>113</v>
      </c>
      <c r="D121" s="52" t="s">
        <v>152</v>
      </c>
      <c r="E121" s="128">
        <v>42766</v>
      </c>
      <c r="F121" s="32">
        <f>12794.17+43578.5+33629.66+2303.13</f>
        <v>92305.46</v>
      </c>
      <c r="G121" s="32">
        <v>13954.74</v>
      </c>
      <c r="H121" s="32">
        <f t="shared" si="17"/>
        <v>92305.46</v>
      </c>
      <c r="I121" s="32">
        <f>G121</f>
        <v>13954.74</v>
      </c>
    </row>
    <row r="122" spans="2:11" ht="15" customHeight="1" x14ac:dyDescent="0.25">
      <c r="B122" s="52" t="s">
        <v>35</v>
      </c>
      <c r="C122" s="129" t="s">
        <v>108</v>
      </c>
      <c r="D122" s="52" t="s">
        <v>76</v>
      </c>
      <c r="E122" s="128">
        <v>42768</v>
      </c>
      <c r="F122" s="32">
        <f>3787.9+37465.95+11560.37</f>
        <v>52814.22</v>
      </c>
      <c r="G122" s="32">
        <v>4250.63</v>
      </c>
      <c r="H122" s="32">
        <f t="shared" si="17"/>
        <v>52814.22</v>
      </c>
      <c r="I122" s="32">
        <f>G122</f>
        <v>4250.63</v>
      </c>
    </row>
    <row r="123" spans="2:11" ht="15" customHeight="1" x14ac:dyDescent="0.25">
      <c r="B123" s="52" t="s">
        <v>43</v>
      </c>
      <c r="C123" s="129" t="s">
        <v>112</v>
      </c>
      <c r="D123" s="52" t="s">
        <v>152</v>
      </c>
      <c r="E123" s="128">
        <v>42780</v>
      </c>
      <c r="F123" s="32">
        <v>70427.78</v>
      </c>
      <c r="G123" s="32">
        <v>10505.6</v>
      </c>
      <c r="H123" s="32">
        <f t="shared" si="17"/>
        <v>70427.78</v>
      </c>
      <c r="I123" s="32">
        <f>G123</f>
        <v>10505.6</v>
      </c>
    </row>
    <row r="124" spans="2:11" ht="15" customHeight="1" x14ac:dyDescent="0.25">
      <c r="B124" s="52" t="s">
        <v>37</v>
      </c>
      <c r="C124" s="129" t="s">
        <v>38</v>
      </c>
      <c r="D124" s="52" t="s">
        <v>78</v>
      </c>
      <c r="E124" s="128">
        <v>42783</v>
      </c>
      <c r="F124" s="32">
        <f>556.72+8175.95+428.55+17855.27</f>
        <v>27016.489999999998</v>
      </c>
      <c r="G124" s="32">
        <v>0</v>
      </c>
      <c r="H124" s="32">
        <f t="shared" si="17"/>
        <v>27016.489999999998</v>
      </c>
    </row>
    <row r="125" spans="2:11" ht="15" customHeight="1" x14ac:dyDescent="0.25">
      <c r="B125" s="52" t="s">
        <v>3</v>
      </c>
      <c r="C125" s="129" t="s">
        <v>4</v>
      </c>
      <c r="D125" s="52" t="s">
        <v>78</v>
      </c>
      <c r="E125" s="128">
        <v>42793</v>
      </c>
      <c r="F125" s="32">
        <f>783.76+3575.57+1612.16+41.98</f>
        <v>6013.4699999999993</v>
      </c>
      <c r="G125" s="32">
        <v>1537.77</v>
      </c>
      <c r="H125" s="32">
        <f t="shared" si="17"/>
        <v>6013.4699999999993</v>
      </c>
      <c r="I125" s="32">
        <v>1537.76</v>
      </c>
      <c r="K125" s="32">
        <f>G125-I125</f>
        <v>9.9999999999909051E-3</v>
      </c>
    </row>
    <row r="126" spans="2:11" ht="15" customHeight="1" x14ac:dyDescent="0.25">
      <c r="B126" s="52" t="s">
        <v>145</v>
      </c>
      <c r="C126" s="129" t="s">
        <v>32</v>
      </c>
      <c r="D126" s="52" t="s">
        <v>78</v>
      </c>
      <c r="E126" s="128">
        <v>42794</v>
      </c>
      <c r="F126" s="32">
        <f>247.5+217.5+2558.5+37.5+939.2</f>
        <v>4000.2</v>
      </c>
      <c r="G126" s="32">
        <v>1863.78</v>
      </c>
      <c r="H126" s="32">
        <f t="shared" si="17"/>
        <v>4000.2</v>
      </c>
      <c r="I126" s="32">
        <v>600.03</v>
      </c>
      <c r="K126" s="32">
        <f>G126-I126</f>
        <v>1263.75</v>
      </c>
    </row>
    <row r="127" spans="2:11" ht="15" customHeight="1" x14ac:dyDescent="0.25">
      <c r="B127" s="52" t="s">
        <v>154</v>
      </c>
      <c r="C127" s="129" t="s">
        <v>111</v>
      </c>
      <c r="D127" s="52" t="s">
        <v>70</v>
      </c>
      <c r="E127" s="128">
        <v>42794</v>
      </c>
      <c r="F127" s="32">
        <v>11816.7</v>
      </c>
      <c r="G127" s="32">
        <v>691.46</v>
      </c>
      <c r="H127" s="32">
        <f t="shared" ref="H127:I129" si="18">F127</f>
        <v>11816.7</v>
      </c>
      <c r="I127" s="32">
        <f t="shared" si="18"/>
        <v>691.46</v>
      </c>
    </row>
    <row r="128" spans="2:11" ht="15" customHeight="1" x14ac:dyDescent="0.25">
      <c r="B128" s="52" t="s">
        <v>154</v>
      </c>
      <c r="C128" s="129" t="s">
        <v>111</v>
      </c>
      <c r="D128" s="52" t="s">
        <v>71</v>
      </c>
      <c r="E128" s="128">
        <v>42802</v>
      </c>
      <c r="F128" s="32">
        <f>1322.77+1500+43.01+961.04</f>
        <v>3826.82</v>
      </c>
      <c r="G128" s="32">
        <v>857.75</v>
      </c>
      <c r="H128" s="32">
        <f t="shared" si="18"/>
        <v>3826.82</v>
      </c>
      <c r="I128" s="32">
        <f t="shared" si="18"/>
        <v>857.75</v>
      </c>
    </row>
    <row r="129" spans="2:11" ht="15" customHeight="1" x14ac:dyDescent="0.25">
      <c r="B129" s="52" t="s">
        <v>29</v>
      </c>
      <c r="C129" s="129" t="s">
        <v>106</v>
      </c>
      <c r="D129" s="52" t="s">
        <v>78</v>
      </c>
      <c r="E129" s="128">
        <v>42794</v>
      </c>
      <c r="F129" s="32">
        <v>17390.34</v>
      </c>
      <c r="G129" s="32">
        <v>4694.1499999999996</v>
      </c>
      <c r="H129" s="32">
        <f t="shared" si="18"/>
        <v>17390.34</v>
      </c>
      <c r="I129" s="32">
        <f t="shared" si="18"/>
        <v>4694.1499999999996</v>
      </c>
    </row>
    <row r="130" spans="2:11" ht="15" customHeight="1" x14ac:dyDescent="0.25">
      <c r="B130" s="52" t="s">
        <v>59</v>
      </c>
      <c r="C130" s="129" t="s">
        <v>114</v>
      </c>
      <c r="D130" s="52" t="s">
        <v>72</v>
      </c>
      <c r="E130" s="128">
        <v>42803</v>
      </c>
      <c r="F130" s="32">
        <v>27526.2</v>
      </c>
      <c r="G130" s="32">
        <v>17908.189999999999</v>
      </c>
      <c r="H130" s="32">
        <f t="shared" ref="H130:H142" si="19">F130</f>
        <v>27526.2</v>
      </c>
      <c r="I130" s="32">
        <v>4128.93</v>
      </c>
      <c r="K130" s="32">
        <f>G130-I130</f>
        <v>13779.259999999998</v>
      </c>
    </row>
    <row r="131" spans="2:11" ht="15" customHeight="1" x14ac:dyDescent="0.25">
      <c r="B131" s="52" t="s">
        <v>59</v>
      </c>
      <c r="C131" s="129" t="s">
        <v>114</v>
      </c>
      <c r="D131" s="52" t="s">
        <v>76</v>
      </c>
      <c r="E131" s="128">
        <v>42803</v>
      </c>
      <c r="F131" s="32">
        <f>250+2725.43+2573.38</f>
        <v>5548.8099999999995</v>
      </c>
      <c r="G131" s="32">
        <v>19312.14</v>
      </c>
      <c r="H131" s="32">
        <f t="shared" si="19"/>
        <v>5548.8099999999995</v>
      </c>
      <c r="I131" s="32">
        <f>0.15*F131</f>
        <v>832.3214999999999</v>
      </c>
      <c r="K131" s="32">
        <f>G131-I131</f>
        <v>18479.818500000001</v>
      </c>
    </row>
    <row r="132" spans="2:11" ht="15" customHeight="1" x14ac:dyDescent="0.25">
      <c r="B132" s="52" t="s">
        <v>103</v>
      </c>
      <c r="C132" s="129" t="s">
        <v>19</v>
      </c>
      <c r="D132" s="52" t="s">
        <v>78</v>
      </c>
      <c r="E132" s="128">
        <v>42807</v>
      </c>
      <c r="F132" s="32">
        <f>792.22+26757.36+3122.96+892.11</f>
        <v>31564.65</v>
      </c>
      <c r="G132" s="32">
        <v>3188.54</v>
      </c>
      <c r="H132" s="32">
        <f t="shared" si="19"/>
        <v>31564.65</v>
      </c>
      <c r="I132" s="32">
        <f>G132</f>
        <v>3188.54</v>
      </c>
    </row>
    <row r="133" spans="2:11" ht="15" customHeight="1" x14ac:dyDescent="0.25">
      <c r="B133" s="52" t="s">
        <v>154</v>
      </c>
      <c r="C133" s="129" t="s">
        <v>111</v>
      </c>
      <c r="D133" s="52" t="s">
        <v>73</v>
      </c>
      <c r="E133" s="128">
        <v>42810</v>
      </c>
      <c r="F133" s="32">
        <f>35.91+17.96+2073.69</f>
        <v>2127.56</v>
      </c>
      <c r="G133" s="32">
        <f>2727.73</f>
        <v>2727.73</v>
      </c>
      <c r="H133" s="32">
        <f t="shared" si="19"/>
        <v>2127.56</v>
      </c>
      <c r="I133" s="32">
        <f>1116.44+184.77</f>
        <v>1301.21</v>
      </c>
      <c r="K133" s="32">
        <f>G133-I133</f>
        <v>1426.52</v>
      </c>
    </row>
    <row r="134" spans="2:11" ht="15" customHeight="1" x14ac:dyDescent="0.25">
      <c r="B134" s="52" t="s">
        <v>37</v>
      </c>
      <c r="C134" s="129" t="s">
        <v>38</v>
      </c>
      <c r="D134" s="52" t="s">
        <v>79</v>
      </c>
      <c r="E134" s="128">
        <v>42810</v>
      </c>
      <c r="F134" s="32">
        <f>161.41+14001.02+2656.41+132.05</f>
        <v>16950.89</v>
      </c>
      <c r="G134" s="32">
        <v>0</v>
      </c>
      <c r="H134" s="32">
        <f t="shared" si="19"/>
        <v>16950.89</v>
      </c>
    </row>
    <row r="135" spans="2:11" ht="15" customHeight="1" x14ac:dyDescent="0.25">
      <c r="B135" s="52" t="s">
        <v>29</v>
      </c>
      <c r="C135" s="129" t="s">
        <v>106</v>
      </c>
      <c r="D135" s="52" t="s">
        <v>79</v>
      </c>
      <c r="E135" s="128">
        <v>42812</v>
      </c>
      <c r="F135" s="32">
        <f>190+8233.52+8774.97+77.65</f>
        <v>17276.14</v>
      </c>
      <c r="G135" s="32">
        <v>165.8</v>
      </c>
      <c r="H135" s="32">
        <f t="shared" si="19"/>
        <v>17276.14</v>
      </c>
      <c r="I135" s="32">
        <f>G135</f>
        <v>165.8</v>
      </c>
    </row>
    <row r="136" spans="2:11" ht="15" customHeight="1" x14ac:dyDescent="0.25">
      <c r="B136" s="52" t="s">
        <v>145</v>
      </c>
      <c r="C136" s="129" t="s">
        <v>32</v>
      </c>
      <c r="D136" s="52" t="s">
        <v>79</v>
      </c>
      <c r="E136" s="128">
        <v>42824</v>
      </c>
      <c r="F136" s="32">
        <f>187.5+1735.17+3244.76+120+795</f>
        <v>6082.43</v>
      </c>
      <c r="G136" s="32">
        <v>2190.9</v>
      </c>
      <c r="H136" s="32">
        <f t="shared" si="19"/>
        <v>6082.43</v>
      </c>
      <c r="I136" s="32">
        <v>912.36</v>
      </c>
      <c r="K136" s="32">
        <f>G136-I136</f>
        <v>1278.54</v>
      </c>
    </row>
    <row r="137" spans="2:11" ht="15" customHeight="1" x14ac:dyDescent="0.25">
      <c r="B137" s="52" t="s">
        <v>154</v>
      </c>
      <c r="C137" s="129" t="s">
        <v>111</v>
      </c>
      <c r="D137" s="52" t="s">
        <v>74</v>
      </c>
      <c r="E137" s="128">
        <v>42814</v>
      </c>
      <c r="F137" s="32">
        <v>2998.73</v>
      </c>
      <c r="G137" s="32">
        <v>528.52</v>
      </c>
      <c r="H137" s="32">
        <f t="shared" si="19"/>
        <v>2998.73</v>
      </c>
      <c r="I137" s="32">
        <v>449.81</v>
      </c>
      <c r="K137" s="32">
        <f>G137-I137</f>
        <v>78.70999999999998</v>
      </c>
    </row>
    <row r="138" spans="2:11" ht="15" customHeight="1" x14ac:dyDescent="0.25">
      <c r="B138" s="52" t="s">
        <v>154</v>
      </c>
      <c r="C138" s="129" t="s">
        <v>111</v>
      </c>
      <c r="D138" s="52" t="s">
        <v>75</v>
      </c>
      <c r="E138" s="128">
        <v>42815</v>
      </c>
      <c r="F138" s="32">
        <f>1125+8.98+1866.03</f>
        <v>3000.01</v>
      </c>
      <c r="G138" s="32">
        <v>655.13</v>
      </c>
      <c r="H138" s="32">
        <f t="shared" si="19"/>
        <v>3000.01</v>
      </c>
      <c r="I138" s="32">
        <v>450</v>
      </c>
      <c r="K138" s="32">
        <f>G138-I138</f>
        <v>205.13</v>
      </c>
    </row>
    <row r="139" spans="2:11" ht="15" customHeight="1" x14ac:dyDescent="0.25">
      <c r="B139" s="52" t="s">
        <v>3</v>
      </c>
      <c r="C139" s="129" t="s">
        <v>4</v>
      </c>
      <c r="D139" s="52" t="s">
        <v>79</v>
      </c>
      <c r="E139" s="128">
        <v>42817</v>
      </c>
      <c r="F139" s="32">
        <f>1314.63+3300.03+2126.81</f>
        <v>6741.4699999999993</v>
      </c>
      <c r="G139" s="32">
        <v>1577.2</v>
      </c>
      <c r="H139" s="32">
        <f t="shared" si="19"/>
        <v>6741.4699999999993</v>
      </c>
      <c r="I139" s="32">
        <f>G139</f>
        <v>1577.2</v>
      </c>
    </row>
    <row r="140" spans="2:11" ht="15" customHeight="1" x14ac:dyDescent="0.25">
      <c r="B140" s="52" t="s">
        <v>154</v>
      </c>
      <c r="C140" s="129" t="s">
        <v>111</v>
      </c>
      <c r="D140" s="52" t="s">
        <v>77</v>
      </c>
      <c r="E140" s="128">
        <v>42818</v>
      </c>
      <c r="F140" s="32">
        <f>1082.68+562.5+34.03+848.1</f>
        <v>2527.31</v>
      </c>
      <c r="G140" s="32">
        <v>530.92999999999995</v>
      </c>
      <c r="H140" s="32">
        <f t="shared" si="19"/>
        <v>2527.31</v>
      </c>
      <c r="I140" s="32">
        <v>379.1</v>
      </c>
      <c r="K140" s="32">
        <f>G140-I140</f>
        <v>151.82999999999993</v>
      </c>
    </row>
    <row r="141" spans="2:11" ht="15" customHeight="1" x14ac:dyDescent="0.25">
      <c r="B141" s="52" t="s">
        <v>154</v>
      </c>
      <c r="C141" s="129" t="s">
        <v>111</v>
      </c>
      <c r="D141" s="52" t="s">
        <v>78</v>
      </c>
      <c r="E141" s="128">
        <v>42832</v>
      </c>
      <c r="F141" s="32">
        <f>25.05+1430.39</f>
        <v>1455.44</v>
      </c>
      <c r="G141" s="32">
        <v>619.26</v>
      </c>
      <c r="H141" s="32">
        <f t="shared" si="19"/>
        <v>1455.44</v>
      </c>
      <c r="I141" s="32">
        <v>218.32</v>
      </c>
      <c r="K141" s="32">
        <f>G141-I141</f>
        <v>400.94</v>
      </c>
    </row>
    <row r="142" spans="2:11" ht="15" customHeight="1" x14ac:dyDescent="0.25">
      <c r="B142" s="52" t="s">
        <v>154</v>
      </c>
      <c r="C142" s="129" t="s">
        <v>111</v>
      </c>
      <c r="D142" s="52" t="s">
        <v>79</v>
      </c>
      <c r="E142" s="128">
        <v>42832</v>
      </c>
      <c r="F142" s="32">
        <f>281.25+1739.15+968.75+42.07+984.56</f>
        <v>4015.78</v>
      </c>
      <c r="G142" s="32">
        <v>417.6</v>
      </c>
      <c r="H142" s="32">
        <f t="shared" si="19"/>
        <v>4015.78</v>
      </c>
      <c r="I142" s="32">
        <f>G142</f>
        <v>417.6</v>
      </c>
    </row>
    <row r="143" spans="2:11" ht="15" customHeight="1" x14ac:dyDescent="0.25">
      <c r="B143" s="52" t="s">
        <v>103</v>
      </c>
      <c r="C143" s="129" t="s">
        <v>19</v>
      </c>
      <c r="D143" s="52" t="s">
        <v>79</v>
      </c>
      <c r="E143" s="128">
        <v>42838</v>
      </c>
      <c r="F143" s="32">
        <v>16494.55</v>
      </c>
      <c r="G143" s="32">
        <v>2633.13</v>
      </c>
      <c r="H143" s="32">
        <f t="shared" ref="H143:H148" si="20">F143</f>
        <v>16494.55</v>
      </c>
      <c r="I143" s="32">
        <f>0.15*F143</f>
        <v>2474.1824999999999</v>
      </c>
      <c r="K143" s="32">
        <f>G143-I143</f>
        <v>158.94750000000022</v>
      </c>
    </row>
    <row r="144" spans="2:11" ht="15" customHeight="1" x14ac:dyDescent="0.25">
      <c r="B144" s="52" t="s">
        <v>20</v>
      </c>
      <c r="C144" s="129" t="s">
        <v>46</v>
      </c>
      <c r="D144" s="52" t="s">
        <v>156</v>
      </c>
      <c r="E144" s="128">
        <v>42839</v>
      </c>
      <c r="F144" s="32">
        <v>53438.77</v>
      </c>
      <c r="G144" s="32">
        <v>5833.74</v>
      </c>
      <c r="H144" s="32">
        <f t="shared" si="20"/>
        <v>53438.77</v>
      </c>
      <c r="I144" s="32">
        <f>G144</f>
        <v>5833.74</v>
      </c>
    </row>
    <row r="145" spans="2:11" ht="15" customHeight="1" x14ac:dyDescent="0.25">
      <c r="B145" s="52" t="s">
        <v>20</v>
      </c>
      <c r="C145" s="129" t="s">
        <v>22</v>
      </c>
      <c r="D145" s="52" t="s">
        <v>156</v>
      </c>
      <c r="E145" s="128">
        <v>42839</v>
      </c>
      <c r="F145" s="32">
        <v>2939.36</v>
      </c>
      <c r="G145" s="32">
        <v>5717.14</v>
      </c>
      <c r="H145" s="32">
        <f t="shared" si="20"/>
        <v>2939.36</v>
      </c>
      <c r="I145" s="32">
        <v>440.9</v>
      </c>
      <c r="K145" s="32">
        <f t="shared" ref="K145:K150" si="21">G145-I145</f>
        <v>5276.2400000000007</v>
      </c>
    </row>
    <row r="146" spans="2:11" ht="15" customHeight="1" x14ac:dyDescent="0.25">
      <c r="B146" s="52" t="s">
        <v>20</v>
      </c>
      <c r="C146" s="129" t="s">
        <v>21</v>
      </c>
      <c r="D146" s="52" t="s">
        <v>156</v>
      </c>
      <c r="E146" s="128">
        <v>42839</v>
      </c>
      <c r="F146" s="32">
        <v>10022.299999999999</v>
      </c>
      <c r="G146" s="32">
        <v>4624.9799999999996</v>
      </c>
      <c r="H146" s="32">
        <f t="shared" si="20"/>
        <v>10022.299999999999</v>
      </c>
      <c r="I146" s="32">
        <f>0.15*F146</f>
        <v>1503.3449999999998</v>
      </c>
      <c r="K146" s="32">
        <f t="shared" si="21"/>
        <v>3121.6349999999998</v>
      </c>
    </row>
    <row r="147" spans="2:11" ht="15" customHeight="1" x14ac:dyDescent="0.25">
      <c r="B147" s="52" t="s">
        <v>20</v>
      </c>
      <c r="C147" s="129" t="s">
        <v>18</v>
      </c>
      <c r="D147" s="52" t="s">
        <v>156</v>
      </c>
      <c r="E147" s="128">
        <v>42839</v>
      </c>
      <c r="F147" s="32">
        <v>43060.85</v>
      </c>
      <c r="G147" s="32">
        <v>15062.28</v>
      </c>
      <c r="H147" s="32">
        <f t="shared" si="20"/>
        <v>43060.85</v>
      </c>
      <c r="I147" s="32">
        <f>0.15*F147</f>
        <v>6459.1274999999996</v>
      </c>
      <c r="K147" s="32">
        <f t="shared" si="21"/>
        <v>8603.1525000000001</v>
      </c>
    </row>
    <row r="148" spans="2:11" ht="15" customHeight="1" x14ac:dyDescent="0.25">
      <c r="B148" s="52" t="s">
        <v>9</v>
      </c>
      <c r="C148" s="129" t="s">
        <v>10</v>
      </c>
      <c r="D148" s="52" t="s">
        <v>156</v>
      </c>
      <c r="E148" s="128">
        <v>42842</v>
      </c>
      <c r="F148" s="32">
        <v>202673.41</v>
      </c>
      <c r="G148" s="32">
        <v>32096.02</v>
      </c>
      <c r="H148" s="32">
        <f t="shared" si="20"/>
        <v>202673.41</v>
      </c>
      <c r="I148" s="32">
        <f>0.15*F148</f>
        <v>30401.011500000001</v>
      </c>
      <c r="K148" s="32">
        <f t="shared" si="21"/>
        <v>1695.0084999999999</v>
      </c>
    </row>
    <row r="149" spans="2:11" ht="15" customHeight="1" x14ac:dyDescent="0.25">
      <c r="B149" s="52" t="s">
        <v>39</v>
      </c>
      <c r="C149" s="129" t="s">
        <v>110</v>
      </c>
      <c r="D149" s="52" t="s">
        <v>156</v>
      </c>
      <c r="E149" s="128">
        <v>42842</v>
      </c>
      <c r="F149" s="32">
        <v>8733.44</v>
      </c>
      <c r="G149" s="32">
        <v>2524.5</v>
      </c>
      <c r="H149" s="32">
        <f>F149</f>
        <v>8733.44</v>
      </c>
      <c r="I149" s="32">
        <v>1310.02</v>
      </c>
      <c r="K149" s="32">
        <f t="shared" si="21"/>
        <v>1214.48</v>
      </c>
    </row>
    <row r="150" spans="2:11" ht="15" customHeight="1" x14ac:dyDescent="0.25">
      <c r="B150" s="52" t="s">
        <v>51</v>
      </c>
      <c r="C150" s="129" t="s">
        <v>52</v>
      </c>
      <c r="D150" s="52" t="s">
        <v>156</v>
      </c>
      <c r="E150" s="128">
        <v>42843</v>
      </c>
      <c r="F150" s="32">
        <f>2677.5+8896.04+5897.5+181.95+264.28</f>
        <v>17917.27</v>
      </c>
      <c r="G150" s="32">
        <v>4525</v>
      </c>
      <c r="H150" s="32">
        <v>17917.27</v>
      </c>
      <c r="I150" s="32">
        <v>2687.59</v>
      </c>
      <c r="K150" s="32">
        <f t="shared" si="21"/>
        <v>1837.4099999999999</v>
      </c>
    </row>
    <row r="151" spans="2:11" ht="15" customHeight="1" x14ac:dyDescent="0.25">
      <c r="B151" s="52" t="s">
        <v>148</v>
      </c>
      <c r="C151" s="129" t="s">
        <v>17</v>
      </c>
      <c r="D151" s="52" t="s">
        <v>156</v>
      </c>
      <c r="E151" s="128">
        <v>42844</v>
      </c>
      <c r="F151" s="32">
        <f>231.9+84.72</f>
        <v>316.62</v>
      </c>
      <c r="G151" s="32">
        <v>47.5</v>
      </c>
      <c r="H151" s="32">
        <f t="shared" ref="H151:H173" si="22">F151</f>
        <v>316.62</v>
      </c>
      <c r="I151" s="32">
        <v>47.49</v>
      </c>
      <c r="K151" s="32">
        <v>0.01</v>
      </c>
    </row>
    <row r="152" spans="2:11" ht="15" customHeight="1" x14ac:dyDescent="0.25">
      <c r="B152" s="52" t="s">
        <v>24</v>
      </c>
      <c r="C152" s="129" t="s">
        <v>25</v>
      </c>
      <c r="D152" s="52" t="s">
        <v>156</v>
      </c>
      <c r="E152" s="128">
        <v>42844</v>
      </c>
      <c r="F152" s="32">
        <v>38105.550000000003</v>
      </c>
      <c r="G152" s="32">
        <v>7771.75</v>
      </c>
      <c r="H152" s="32">
        <f t="shared" si="22"/>
        <v>38105.550000000003</v>
      </c>
      <c r="I152" s="32">
        <f>0.15*F152</f>
        <v>5715.8325000000004</v>
      </c>
      <c r="K152" s="32">
        <f>G152-I152</f>
        <v>2055.9174999999996</v>
      </c>
    </row>
    <row r="153" spans="2:11" ht="15" customHeight="1" x14ac:dyDescent="0.25">
      <c r="B153" s="52" t="s">
        <v>40</v>
      </c>
      <c r="C153" s="129" t="s">
        <v>41</v>
      </c>
      <c r="D153" s="52" t="s">
        <v>156</v>
      </c>
      <c r="E153" s="128">
        <v>42845</v>
      </c>
      <c r="F153" s="32">
        <f>3220+19045.46+4370.26+1079.08</f>
        <v>27714.800000000003</v>
      </c>
      <c r="G153" s="32">
        <v>850</v>
      </c>
      <c r="H153" s="32">
        <f t="shared" si="22"/>
        <v>27714.800000000003</v>
      </c>
      <c r="I153" s="32">
        <f>G153</f>
        <v>850</v>
      </c>
    </row>
    <row r="154" spans="2:11" ht="15" customHeight="1" x14ac:dyDescent="0.25">
      <c r="B154" s="52" t="s">
        <v>49</v>
      </c>
      <c r="C154" s="129" t="s">
        <v>50</v>
      </c>
      <c r="D154" s="52" t="s">
        <v>156</v>
      </c>
      <c r="E154" s="128">
        <v>42850</v>
      </c>
      <c r="F154" s="32">
        <v>18644.060000000001</v>
      </c>
      <c r="G154" s="32">
        <v>2705.02</v>
      </c>
      <c r="H154" s="32">
        <f t="shared" si="22"/>
        <v>18644.060000000001</v>
      </c>
      <c r="I154" s="32">
        <f>G154</f>
        <v>2705.02</v>
      </c>
    </row>
    <row r="155" spans="2:11" ht="15" customHeight="1" x14ac:dyDescent="0.25">
      <c r="B155" s="52" t="s">
        <v>12</v>
      </c>
      <c r="C155" s="129" t="s">
        <v>13</v>
      </c>
      <c r="D155" s="52" t="s">
        <v>156</v>
      </c>
      <c r="E155" s="128">
        <v>42850</v>
      </c>
      <c r="F155" s="32">
        <v>15245.28</v>
      </c>
      <c r="G155" s="32">
        <v>2375</v>
      </c>
      <c r="H155" s="32">
        <f t="shared" si="22"/>
        <v>15245.28</v>
      </c>
      <c r="I155" s="32">
        <v>2286.79</v>
      </c>
      <c r="K155" s="32">
        <f>G155-I155</f>
        <v>88.210000000000036</v>
      </c>
    </row>
    <row r="156" spans="2:11" ht="15" customHeight="1" x14ac:dyDescent="0.25">
      <c r="B156" s="52" t="s">
        <v>6</v>
      </c>
      <c r="C156" s="129" t="s">
        <v>7</v>
      </c>
      <c r="D156" s="52" t="s">
        <v>156</v>
      </c>
      <c r="E156" s="128">
        <v>42851</v>
      </c>
      <c r="F156" s="32">
        <v>20473.8</v>
      </c>
      <c r="G156" s="32">
        <v>3071.07</v>
      </c>
      <c r="H156" s="32">
        <f t="shared" si="22"/>
        <v>20473.8</v>
      </c>
      <c r="I156" s="32">
        <f>G156</f>
        <v>3071.07</v>
      </c>
    </row>
    <row r="157" spans="2:11" ht="15" customHeight="1" x14ac:dyDescent="0.25">
      <c r="B157" s="52" t="s">
        <v>6</v>
      </c>
      <c r="C157" s="129" t="s">
        <v>8</v>
      </c>
      <c r="D157" s="52" t="s">
        <v>156</v>
      </c>
      <c r="E157" s="128">
        <v>42851</v>
      </c>
      <c r="F157" s="32">
        <v>56059.16</v>
      </c>
      <c r="G157" s="32">
        <v>8408.8700000000008</v>
      </c>
      <c r="H157" s="32">
        <f t="shared" si="22"/>
        <v>56059.16</v>
      </c>
      <c r="I157" s="32">
        <f>G157</f>
        <v>8408.8700000000008</v>
      </c>
    </row>
    <row r="158" spans="2:11" ht="15" customHeight="1" x14ac:dyDescent="0.25">
      <c r="B158" s="52" t="s">
        <v>6</v>
      </c>
      <c r="C158" s="129" t="s">
        <v>26</v>
      </c>
      <c r="D158" s="52" t="s">
        <v>156</v>
      </c>
      <c r="E158" s="128">
        <v>42851</v>
      </c>
      <c r="F158" s="32">
        <v>22021.119999999999</v>
      </c>
      <c r="G158" s="32">
        <v>3303.17</v>
      </c>
      <c r="H158" s="32">
        <f t="shared" si="22"/>
        <v>22021.119999999999</v>
      </c>
      <c r="I158" s="32">
        <f>G158</f>
        <v>3303.17</v>
      </c>
    </row>
    <row r="159" spans="2:11" ht="15" customHeight="1" x14ac:dyDescent="0.25">
      <c r="B159" s="52" t="s">
        <v>6</v>
      </c>
      <c r="C159" s="129" t="s">
        <v>30</v>
      </c>
      <c r="D159" s="52" t="s">
        <v>156</v>
      </c>
      <c r="E159" s="128">
        <v>42851</v>
      </c>
      <c r="F159" s="32">
        <v>53653.32</v>
      </c>
      <c r="G159" s="32">
        <v>9230.31</v>
      </c>
      <c r="H159" s="32">
        <f t="shared" si="22"/>
        <v>53653.32</v>
      </c>
      <c r="I159" s="32">
        <v>9230.31</v>
      </c>
    </row>
    <row r="160" spans="2:11" ht="15" customHeight="1" x14ac:dyDescent="0.25">
      <c r="B160" s="52" t="s">
        <v>6</v>
      </c>
      <c r="C160" s="129" t="s">
        <v>31</v>
      </c>
      <c r="D160" s="52" t="s">
        <v>156</v>
      </c>
      <c r="E160" s="128">
        <v>42851</v>
      </c>
      <c r="F160" s="32">
        <v>16886.18</v>
      </c>
      <c r="G160" s="32">
        <v>2532.9299999999998</v>
      </c>
      <c r="H160" s="32">
        <f t="shared" si="22"/>
        <v>16886.18</v>
      </c>
      <c r="I160" s="32">
        <f t="shared" ref="I160:I166" si="23">G160</f>
        <v>2532.9299999999998</v>
      </c>
    </row>
    <row r="161" spans="2:11" ht="15" customHeight="1" x14ac:dyDescent="0.25">
      <c r="B161" s="52" t="s">
        <v>6</v>
      </c>
      <c r="C161" s="129" t="s">
        <v>33</v>
      </c>
      <c r="D161" s="52" t="s">
        <v>156</v>
      </c>
      <c r="E161" s="128">
        <v>42851</v>
      </c>
      <c r="F161" s="32">
        <v>31751.040000000001</v>
      </c>
      <c r="G161" s="32">
        <v>4762.66</v>
      </c>
      <c r="H161" s="32">
        <f t="shared" si="22"/>
        <v>31751.040000000001</v>
      </c>
      <c r="I161" s="32">
        <f t="shared" si="23"/>
        <v>4762.66</v>
      </c>
    </row>
    <row r="162" spans="2:11" ht="15" customHeight="1" x14ac:dyDescent="0.25">
      <c r="B162" s="52" t="s">
        <v>6</v>
      </c>
      <c r="C162" s="129" t="s">
        <v>34</v>
      </c>
      <c r="D162" s="52" t="s">
        <v>156</v>
      </c>
      <c r="E162" s="128">
        <v>42851</v>
      </c>
      <c r="F162" s="32">
        <v>50827.49</v>
      </c>
      <c r="G162" s="32">
        <v>9522.52</v>
      </c>
      <c r="H162" s="32">
        <f t="shared" si="22"/>
        <v>50827.49</v>
      </c>
      <c r="I162" s="32">
        <f t="shared" si="23"/>
        <v>9522.52</v>
      </c>
    </row>
    <row r="163" spans="2:11" ht="15" customHeight="1" x14ac:dyDescent="0.25">
      <c r="B163" s="52" t="s">
        <v>6</v>
      </c>
      <c r="C163" s="129" t="s">
        <v>109</v>
      </c>
      <c r="D163" s="52" t="s">
        <v>156</v>
      </c>
      <c r="E163" s="128">
        <v>42851</v>
      </c>
      <c r="F163" s="32">
        <v>34338.15</v>
      </c>
      <c r="G163" s="32">
        <v>5150.72</v>
      </c>
      <c r="H163" s="32">
        <f t="shared" si="22"/>
        <v>34338.15</v>
      </c>
      <c r="I163" s="32">
        <f t="shared" si="23"/>
        <v>5150.72</v>
      </c>
    </row>
    <row r="164" spans="2:11" ht="15" customHeight="1" x14ac:dyDescent="0.25">
      <c r="B164" s="52" t="s">
        <v>6</v>
      </c>
      <c r="C164" s="129" t="s">
        <v>36</v>
      </c>
      <c r="D164" s="52" t="s">
        <v>156</v>
      </c>
      <c r="E164" s="128">
        <v>42851</v>
      </c>
      <c r="F164" s="32">
        <v>9416.76</v>
      </c>
      <c r="G164" s="32">
        <v>1412.51</v>
      </c>
      <c r="H164" s="32">
        <f t="shared" si="22"/>
        <v>9416.76</v>
      </c>
      <c r="I164" s="32">
        <f t="shared" si="23"/>
        <v>1412.51</v>
      </c>
    </row>
    <row r="165" spans="2:11" ht="15" customHeight="1" x14ac:dyDescent="0.25">
      <c r="B165" s="52" t="s">
        <v>6</v>
      </c>
      <c r="C165" s="129" t="s">
        <v>44</v>
      </c>
      <c r="D165" s="52" t="s">
        <v>156</v>
      </c>
      <c r="E165" s="128">
        <v>42851</v>
      </c>
      <c r="F165" s="32">
        <v>23605.26</v>
      </c>
      <c r="G165" s="32">
        <v>3540.79</v>
      </c>
      <c r="H165" s="32">
        <f t="shared" si="22"/>
        <v>23605.26</v>
      </c>
      <c r="I165" s="32">
        <f t="shared" si="23"/>
        <v>3540.79</v>
      </c>
    </row>
    <row r="166" spans="2:11" ht="15" customHeight="1" x14ac:dyDescent="0.25">
      <c r="B166" s="52" t="s">
        <v>6</v>
      </c>
      <c r="C166" s="129" t="s">
        <v>45</v>
      </c>
      <c r="D166" s="52" t="s">
        <v>156</v>
      </c>
      <c r="E166" s="128">
        <v>42851</v>
      </c>
      <c r="F166" s="32">
        <v>26501.68</v>
      </c>
      <c r="G166" s="32">
        <v>3975.25</v>
      </c>
      <c r="H166" s="32">
        <f t="shared" si="22"/>
        <v>26501.68</v>
      </c>
      <c r="I166" s="32">
        <f t="shared" si="23"/>
        <v>3975.25</v>
      </c>
    </row>
    <row r="167" spans="2:11" ht="15" customHeight="1" x14ac:dyDescent="0.25">
      <c r="B167" s="52" t="s">
        <v>6</v>
      </c>
      <c r="C167" s="129" t="s">
        <v>48</v>
      </c>
      <c r="D167" s="52" t="s">
        <v>156</v>
      </c>
      <c r="E167" s="128">
        <v>42851</v>
      </c>
      <c r="F167" s="32">
        <v>38763.949999999997</v>
      </c>
      <c r="G167" s="32">
        <v>0</v>
      </c>
      <c r="H167" s="32">
        <f t="shared" si="22"/>
        <v>38763.949999999997</v>
      </c>
      <c r="I167" s="32">
        <v>0</v>
      </c>
    </row>
    <row r="168" spans="2:11" ht="15" customHeight="1" x14ac:dyDescent="0.25">
      <c r="B168" s="52" t="s">
        <v>6</v>
      </c>
      <c r="C168" s="129" t="s">
        <v>54</v>
      </c>
      <c r="D168" s="52" t="s">
        <v>156</v>
      </c>
      <c r="E168" s="128">
        <v>42851</v>
      </c>
      <c r="F168" s="32">
        <v>14641.91</v>
      </c>
      <c r="G168" s="32">
        <v>2196.29</v>
      </c>
      <c r="H168" s="32">
        <f t="shared" si="22"/>
        <v>14641.91</v>
      </c>
      <c r="I168" s="32">
        <f>G168</f>
        <v>2196.29</v>
      </c>
    </row>
    <row r="169" spans="2:11" ht="15" customHeight="1" x14ac:dyDescent="0.25">
      <c r="B169" s="52" t="s">
        <v>6</v>
      </c>
      <c r="C169" s="129" t="s">
        <v>55</v>
      </c>
      <c r="D169" s="52" t="s">
        <v>156</v>
      </c>
      <c r="E169" s="128">
        <v>42851</v>
      </c>
      <c r="F169" s="32">
        <v>7601.69</v>
      </c>
      <c r="G169" s="32">
        <v>1140.25</v>
      </c>
      <c r="H169" s="32">
        <f t="shared" si="22"/>
        <v>7601.69</v>
      </c>
      <c r="I169" s="32">
        <f>G169</f>
        <v>1140.25</v>
      </c>
    </row>
    <row r="170" spans="2:11" ht="15" customHeight="1" x14ac:dyDescent="0.25">
      <c r="B170" s="52" t="s">
        <v>6</v>
      </c>
      <c r="C170" s="129" t="s">
        <v>56</v>
      </c>
      <c r="D170" s="52" t="s">
        <v>156</v>
      </c>
      <c r="E170" s="128">
        <v>42851</v>
      </c>
      <c r="F170" s="32">
        <v>36571.22</v>
      </c>
      <c r="G170" s="32">
        <v>5485.68</v>
      </c>
      <c r="H170" s="32">
        <f t="shared" si="22"/>
        <v>36571.22</v>
      </c>
      <c r="I170" s="32">
        <f>G170</f>
        <v>5485.68</v>
      </c>
    </row>
    <row r="171" spans="2:11" ht="15" customHeight="1" x14ac:dyDescent="0.25">
      <c r="B171" s="52" t="s">
        <v>6</v>
      </c>
      <c r="C171" s="129" t="s">
        <v>115</v>
      </c>
      <c r="D171" s="52" t="s">
        <v>156</v>
      </c>
      <c r="E171" s="128">
        <v>42851</v>
      </c>
      <c r="F171" s="32">
        <v>131342.17000000001</v>
      </c>
      <c r="G171" s="32">
        <v>19909.5</v>
      </c>
      <c r="H171" s="32">
        <f t="shared" si="22"/>
        <v>131342.17000000001</v>
      </c>
      <c r="I171" s="32">
        <v>19909.5</v>
      </c>
    </row>
    <row r="172" spans="2:11" ht="15" customHeight="1" x14ac:dyDescent="0.25">
      <c r="B172" s="52" t="s">
        <v>6</v>
      </c>
      <c r="C172" s="129" t="s">
        <v>60</v>
      </c>
      <c r="D172" s="52" t="s">
        <v>156</v>
      </c>
      <c r="E172" s="128">
        <v>42851</v>
      </c>
      <c r="F172" s="32">
        <v>40076.17</v>
      </c>
      <c r="G172" s="32">
        <v>6011.43</v>
      </c>
      <c r="H172" s="32">
        <f t="shared" si="22"/>
        <v>40076.17</v>
      </c>
      <c r="I172" s="32">
        <f>G172</f>
        <v>6011.43</v>
      </c>
    </row>
    <row r="173" spans="2:11" ht="15.75" customHeight="1" x14ac:dyDescent="0.25">
      <c r="B173" s="52" t="s">
        <v>6</v>
      </c>
      <c r="C173" s="129" t="s">
        <v>62</v>
      </c>
      <c r="D173" s="52" t="s">
        <v>156</v>
      </c>
      <c r="E173" s="128">
        <v>42851</v>
      </c>
      <c r="F173" s="32">
        <v>7808.85</v>
      </c>
      <c r="G173" s="32">
        <v>850.81</v>
      </c>
      <c r="H173" s="32">
        <f t="shared" si="22"/>
        <v>7808.85</v>
      </c>
      <c r="I173" s="32">
        <v>850.81</v>
      </c>
      <c r="K173" s="32">
        <f>G173-I173</f>
        <v>0</v>
      </c>
    </row>
    <row r="174" spans="2:11" ht="15" customHeight="1" x14ac:dyDescent="0.25">
      <c r="B174" s="52" t="s">
        <v>6</v>
      </c>
      <c r="C174" s="129" t="s">
        <v>63</v>
      </c>
      <c r="D174" s="52" t="s">
        <v>156</v>
      </c>
      <c r="E174" s="128">
        <v>42851</v>
      </c>
      <c r="F174" s="32">
        <v>5095.3999999999996</v>
      </c>
      <c r="G174" s="32">
        <v>764.31</v>
      </c>
      <c r="H174" s="32">
        <f t="shared" ref="H174:I176" si="24">F174</f>
        <v>5095.3999999999996</v>
      </c>
      <c r="I174" s="32">
        <f t="shared" si="24"/>
        <v>764.31</v>
      </c>
    </row>
    <row r="175" spans="2:11" ht="15" customHeight="1" x14ac:dyDescent="0.25">
      <c r="B175" s="52" t="s">
        <v>6</v>
      </c>
      <c r="C175" s="129" t="s">
        <v>64</v>
      </c>
      <c r="D175" s="52" t="s">
        <v>156</v>
      </c>
      <c r="E175" s="128">
        <v>42851</v>
      </c>
      <c r="F175" s="32">
        <v>46958.080000000002</v>
      </c>
      <c r="G175" s="32">
        <v>7043.71</v>
      </c>
      <c r="H175" s="32">
        <f t="shared" si="24"/>
        <v>46958.080000000002</v>
      </c>
      <c r="I175" s="32">
        <f t="shared" si="24"/>
        <v>7043.71</v>
      </c>
    </row>
    <row r="176" spans="2:11" ht="15" customHeight="1" x14ac:dyDescent="0.25">
      <c r="B176" s="52" t="s">
        <v>6</v>
      </c>
      <c r="C176" s="129" t="s">
        <v>67</v>
      </c>
      <c r="D176" s="52" t="s">
        <v>156</v>
      </c>
      <c r="E176" s="128">
        <v>42851</v>
      </c>
      <c r="F176" s="32">
        <v>30577.45</v>
      </c>
      <c r="G176" s="32">
        <v>4586.62</v>
      </c>
      <c r="H176" s="32">
        <f t="shared" si="24"/>
        <v>30577.45</v>
      </c>
      <c r="I176" s="32">
        <f t="shared" si="24"/>
        <v>4586.62</v>
      </c>
    </row>
    <row r="177" spans="2:11" ht="15" customHeight="1" x14ac:dyDescent="0.25">
      <c r="B177" s="52" t="s">
        <v>11</v>
      </c>
      <c r="C177" s="129" t="s">
        <v>102</v>
      </c>
      <c r="D177" s="52" t="s">
        <v>156</v>
      </c>
      <c r="E177" s="128">
        <v>42852</v>
      </c>
      <c r="F177" s="32">
        <f>5371.58+13059+10485.75+465+2225.37</f>
        <v>31606.7</v>
      </c>
      <c r="G177" s="32">
        <v>7032.83</v>
      </c>
      <c r="H177" s="32">
        <f t="shared" ref="H177:H191" si="25">F177</f>
        <v>31606.7</v>
      </c>
      <c r="I177" s="32">
        <f>4741.01+352.42</f>
        <v>5093.43</v>
      </c>
      <c r="K177" s="32">
        <f>G177-I177</f>
        <v>1939.3999999999996</v>
      </c>
    </row>
    <row r="178" spans="2:11" ht="15" customHeight="1" x14ac:dyDescent="0.25">
      <c r="B178" s="52" t="s">
        <v>29</v>
      </c>
      <c r="C178" s="129" t="s">
        <v>106</v>
      </c>
      <c r="D178" s="52" t="s">
        <v>80</v>
      </c>
      <c r="E178" s="128">
        <v>42852</v>
      </c>
      <c r="F178" s="32">
        <v>17643.54</v>
      </c>
      <c r="G178" s="32">
        <v>1114.04</v>
      </c>
      <c r="H178" s="32">
        <f t="shared" si="25"/>
        <v>17643.54</v>
      </c>
      <c r="I178" s="32">
        <f>G178</f>
        <v>1114.04</v>
      </c>
    </row>
    <row r="179" spans="2:11" ht="15" customHeight="1" x14ac:dyDescent="0.25">
      <c r="B179" s="52" t="s">
        <v>140</v>
      </c>
      <c r="C179" s="129" t="s">
        <v>116</v>
      </c>
      <c r="D179" s="52" t="s">
        <v>156</v>
      </c>
      <c r="E179" s="128">
        <v>42852</v>
      </c>
      <c r="F179" s="32">
        <v>31233.96</v>
      </c>
      <c r="G179" s="32">
        <v>9973.94</v>
      </c>
      <c r="H179" s="32">
        <f t="shared" si="25"/>
        <v>31233.96</v>
      </c>
      <c r="I179" s="32">
        <v>4685.09</v>
      </c>
      <c r="K179" s="32">
        <f>G179-I179</f>
        <v>5288.85</v>
      </c>
    </row>
    <row r="180" spans="2:11" ht="15" customHeight="1" x14ac:dyDescent="0.25">
      <c r="B180" s="52" t="s">
        <v>149</v>
      </c>
      <c r="C180" s="129" t="s">
        <v>101</v>
      </c>
      <c r="D180" s="52" t="s">
        <v>156</v>
      </c>
      <c r="E180" s="128">
        <v>42853</v>
      </c>
      <c r="F180" s="32">
        <f>1696.16+34916.66+355.3</f>
        <v>36968.12000000001</v>
      </c>
      <c r="G180" s="32">
        <v>0</v>
      </c>
      <c r="H180" s="32">
        <f t="shared" si="25"/>
        <v>36968.12000000001</v>
      </c>
      <c r="I180" s="32">
        <v>0</v>
      </c>
    </row>
    <row r="181" spans="2:11" ht="15" customHeight="1" x14ac:dyDescent="0.25">
      <c r="B181" s="52" t="s">
        <v>35</v>
      </c>
      <c r="C181" s="129" t="s">
        <v>108</v>
      </c>
      <c r="D181" s="52" t="s">
        <v>156</v>
      </c>
      <c r="E181" s="128">
        <v>42853</v>
      </c>
      <c r="F181" s="32">
        <v>44390.3</v>
      </c>
      <c r="G181" s="32">
        <v>3989.49</v>
      </c>
      <c r="H181" s="32">
        <f t="shared" si="25"/>
        <v>44390.3</v>
      </c>
      <c r="I181" s="32">
        <f>G181</f>
        <v>3989.49</v>
      </c>
    </row>
    <row r="182" spans="2:11" ht="15" customHeight="1" x14ac:dyDescent="0.25">
      <c r="B182" s="52" t="s">
        <v>145</v>
      </c>
      <c r="C182" s="129" t="s">
        <v>32</v>
      </c>
      <c r="D182" s="52" t="s">
        <v>80</v>
      </c>
      <c r="E182" s="128">
        <v>42853</v>
      </c>
      <c r="F182" s="32">
        <v>7853.74</v>
      </c>
      <c r="G182" s="32">
        <v>3028.16</v>
      </c>
      <c r="H182" s="32">
        <f t="shared" si="25"/>
        <v>7853.74</v>
      </c>
      <c r="I182" s="32">
        <v>1178.06</v>
      </c>
      <c r="K182" s="32">
        <f>G182-I182</f>
        <v>1850.1</v>
      </c>
    </row>
    <row r="183" spans="2:11" ht="15" customHeight="1" x14ac:dyDescent="0.25">
      <c r="B183" s="52" t="s">
        <v>3</v>
      </c>
      <c r="C183" s="129" t="s">
        <v>4</v>
      </c>
      <c r="D183" s="52" t="s">
        <v>80</v>
      </c>
      <c r="E183" s="128">
        <v>42855</v>
      </c>
      <c r="F183" s="32">
        <v>7157.24</v>
      </c>
      <c r="G183" s="32">
        <v>1443.02</v>
      </c>
      <c r="H183" s="32">
        <f t="shared" si="25"/>
        <v>7157.24</v>
      </c>
      <c r="I183" s="32">
        <f>1345.05+97.97</f>
        <v>1443.02</v>
      </c>
      <c r="K183" s="32">
        <f>G183-I183</f>
        <v>0</v>
      </c>
    </row>
    <row r="184" spans="2:11" ht="15" customHeight="1" x14ac:dyDescent="0.25">
      <c r="B184" s="52" t="s">
        <v>23</v>
      </c>
      <c r="C184" s="129" t="s">
        <v>104</v>
      </c>
      <c r="D184" s="52" t="s">
        <v>156</v>
      </c>
      <c r="E184" s="128">
        <v>42856</v>
      </c>
      <c r="F184" s="32">
        <v>5901.3</v>
      </c>
      <c r="G184" s="32">
        <v>885.22</v>
      </c>
      <c r="H184" s="32">
        <f t="shared" si="25"/>
        <v>5901.3</v>
      </c>
      <c r="I184" s="32">
        <f>885.2</f>
        <v>885.2</v>
      </c>
      <c r="K184" s="32">
        <f>G184-I184</f>
        <v>1.999999999998181E-2</v>
      </c>
    </row>
    <row r="185" spans="2:11" ht="15" customHeight="1" x14ac:dyDescent="0.25">
      <c r="B185" s="52" t="s">
        <v>37</v>
      </c>
      <c r="C185" s="129" t="s">
        <v>38</v>
      </c>
      <c r="D185" s="52" t="s">
        <v>80</v>
      </c>
      <c r="E185" s="128">
        <v>42837</v>
      </c>
      <c r="F185" s="32">
        <v>10010.93</v>
      </c>
      <c r="G185" s="32">
        <v>0</v>
      </c>
      <c r="H185" s="32">
        <f t="shared" si="25"/>
        <v>10010.93</v>
      </c>
      <c r="I185" s="32">
        <v>0</v>
      </c>
    </row>
    <row r="186" spans="2:11" ht="15" customHeight="1" x14ac:dyDescent="0.25">
      <c r="B186" s="52" t="s">
        <v>37</v>
      </c>
      <c r="C186" s="129" t="s">
        <v>38</v>
      </c>
      <c r="D186" s="52" t="s">
        <v>82</v>
      </c>
      <c r="E186" s="128">
        <v>42865</v>
      </c>
      <c r="F186" s="32">
        <v>12958.12</v>
      </c>
      <c r="G186" s="32">
        <v>0</v>
      </c>
      <c r="H186" s="32">
        <f t="shared" si="25"/>
        <v>12958.12</v>
      </c>
      <c r="I186" s="32">
        <f>G186</f>
        <v>0</v>
      </c>
    </row>
    <row r="187" spans="2:11" ht="15" customHeight="1" x14ac:dyDescent="0.25">
      <c r="B187" s="52" t="s">
        <v>103</v>
      </c>
      <c r="C187" s="129" t="s">
        <v>19</v>
      </c>
      <c r="D187" s="52" t="s">
        <v>80</v>
      </c>
      <c r="E187" s="128">
        <v>42865</v>
      </c>
      <c r="F187" s="32">
        <f>2698.69+42885.36+4906.15+1930.31</f>
        <v>52420.51</v>
      </c>
      <c r="G187" s="32">
        <v>3988.16</v>
      </c>
      <c r="H187" s="32">
        <f t="shared" si="25"/>
        <v>52420.51</v>
      </c>
      <c r="I187" s="32">
        <f>G187</f>
        <v>3988.16</v>
      </c>
    </row>
    <row r="188" spans="2:11" ht="15" customHeight="1" x14ac:dyDescent="0.25">
      <c r="B188" s="52" t="s">
        <v>29</v>
      </c>
      <c r="C188" s="129" t="s">
        <v>106</v>
      </c>
      <c r="D188" s="52" t="s">
        <v>82</v>
      </c>
      <c r="E188" s="128">
        <v>42885</v>
      </c>
      <c r="F188" s="32">
        <f>4018.85+5301.77+273.97</f>
        <v>9594.59</v>
      </c>
      <c r="G188" s="32">
        <v>964.01</v>
      </c>
      <c r="H188" s="32">
        <f t="shared" si="25"/>
        <v>9594.59</v>
      </c>
      <c r="I188" s="32">
        <f>G188</f>
        <v>964.01</v>
      </c>
    </row>
    <row r="189" spans="2:11" ht="15" customHeight="1" x14ac:dyDescent="0.25">
      <c r="B189" s="52" t="s">
        <v>145</v>
      </c>
      <c r="C189" s="129" t="s">
        <v>32</v>
      </c>
      <c r="D189" s="52" t="s">
        <v>82</v>
      </c>
      <c r="E189" s="128">
        <v>42885</v>
      </c>
      <c r="F189" s="32">
        <v>6664.29</v>
      </c>
      <c r="G189" s="32">
        <v>3613.51</v>
      </c>
      <c r="H189" s="32">
        <f t="shared" si="25"/>
        <v>6664.29</v>
      </c>
      <c r="I189" s="32">
        <v>999.64</v>
      </c>
      <c r="K189" s="32">
        <f>G189-I189</f>
        <v>2613.8700000000003</v>
      </c>
    </row>
    <row r="190" spans="2:11" ht="15" customHeight="1" x14ac:dyDescent="0.25">
      <c r="B190" s="52" t="s">
        <v>3</v>
      </c>
      <c r="C190" s="129" t="s">
        <v>4</v>
      </c>
      <c r="D190" s="52" t="s">
        <v>82</v>
      </c>
      <c r="E190" s="128">
        <v>42886</v>
      </c>
      <c r="F190" s="32">
        <f>1130.64+4486.88+1971.46+172.73</f>
        <v>7761.71</v>
      </c>
      <c r="G190" s="32">
        <v>931.71</v>
      </c>
      <c r="H190" s="32">
        <f t="shared" si="25"/>
        <v>7761.71</v>
      </c>
      <c r="I190" s="32">
        <f>G190</f>
        <v>931.71</v>
      </c>
    </row>
    <row r="191" spans="2:11" ht="15" customHeight="1" x14ac:dyDescent="0.25">
      <c r="B191" s="52" t="s">
        <v>103</v>
      </c>
      <c r="C191" s="129" t="s">
        <v>19</v>
      </c>
      <c r="D191" s="52" t="s">
        <v>82</v>
      </c>
      <c r="E191" s="128">
        <v>42892</v>
      </c>
      <c r="F191" s="32">
        <v>25400.74</v>
      </c>
      <c r="G191" s="32">
        <v>2415.9499999999998</v>
      </c>
      <c r="H191" s="32">
        <f t="shared" si="25"/>
        <v>25400.74</v>
      </c>
      <c r="I191" s="32">
        <f>G191</f>
        <v>2415.9499999999998</v>
      </c>
    </row>
    <row r="192" spans="2:11" ht="15" customHeight="1" x14ac:dyDescent="0.25">
      <c r="B192" s="52" t="s">
        <v>29</v>
      </c>
      <c r="C192" s="129" t="s">
        <v>106</v>
      </c>
      <c r="D192" s="52" t="s">
        <v>83</v>
      </c>
      <c r="E192" s="128">
        <v>42899</v>
      </c>
      <c r="F192" s="32">
        <f>2081.23+6376.41</f>
        <v>8457.64</v>
      </c>
      <c r="G192" s="32">
        <v>244.78</v>
      </c>
      <c r="H192" s="32">
        <f t="shared" ref="H192:H199" si="26">F192</f>
        <v>8457.64</v>
      </c>
      <c r="I192" s="32">
        <f>G192</f>
        <v>244.78</v>
      </c>
    </row>
    <row r="193" spans="2:13" ht="15" customHeight="1" x14ac:dyDescent="0.25">
      <c r="B193" s="52" t="s">
        <v>37</v>
      </c>
      <c r="C193" s="129" t="s">
        <v>38</v>
      </c>
      <c r="D193" s="52" t="s">
        <v>83</v>
      </c>
      <c r="E193" s="128">
        <v>42901</v>
      </c>
      <c r="F193" s="32">
        <v>29685.99</v>
      </c>
      <c r="G193" s="32">
        <v>21332.55</v>
      </c>
      <c r="H193" s="32">
        <f t="shared" si="26"/>
        <v>29685.99</v>
      </c>
      <c r="I193" s="32">
        <f>12377.44+2082.63</f>
        <v>14460.07</v>
      </c>
      <c r="K193" s="32">
        <f>G193-I193</f>
        <v>6872.48</v>
      </c>
    </row>
    <row r="194" spans="2:13" ht="15" customHeight="1" x14ac:dyDescent="0.25">
      <c r="B194" s="52" t="s">
        <v>3</v>
      </c>
      <c r="C194" s="129" t="s">
        <v>4</v>
      </c>
      <c r="D194" s="52" t="s">
        <v>83</v>
      </c>
      <c r="E194" s="128">
        <v>42913</v>
      </c>
      <c r="F194" s="32">
        <f>2063.23+2726.33+2871.43</f>
        <v>7660.99</v>
      </c>
      <c r="G194" s="32">
        <v>611.16999999999996</v>
      </c>
      <c r="H194" s="32">
        <f t="shared" si="26"/>
        <v>7660.99</v>
      </c>
      <c r="I194" s="32">
        <f>G194</f>
        <v>611.16999999999996</v>
      </c>
    </row>
    <row r="195" spans="2:13" ht="15" customHeight="1" x14ac:dyDescent="0.25">
      <c r="B195" s="52" t="s">
        <v>59</v>
      </c>
      <c r="C195" s="129" t="s">
        <v>114</v>
      </c>
      <c r="D195" s="52" t="s">
        <v>156</v>
      </c>
      <c r="E195" s="128">
        <v>42915</v>
      </c>
      <c r="F195" s="32">
        <f>720+9179.76+525+2480.13</f>
        <v>12904.89</v>
      </c>
      <c r="G195" s="32">
        <v>17002.47</v>
      </c>
      <c r="H195" s="32">
        <f t="shared" si="26"/>
        <v>12904.89</v>
      </c>
      <c r="I195" s="32">
        <v>1953.73</v>
      </c>
      <c r="K195" s="32">
        <f>G195-I195</f>
        <v>15048.740000000002</v>
      </c>
    </row>
    <row r="196" spans="2:13" ht="15" customHeight="1" x14ac:dyDescent="0.25">
      <c r="B196" s="52" t="s">
        <v>145</v>
      </c>
      <c r="C196" s="129" t="s">
        <v>32</v>
      </c>
      <c r="D196" s="52" t="s">
        <v>83</v>
      </c>
      <c r="E196" s="128">
        <v>42916</v>
      </c>
      <c r="F196" s="32">
        <f>645+1826.69+3833.84+187.5+510</f>
        <v>7003.0300000000007</v>
      </c>
      <c r="G196" s="32">
        <v>3001.73</v>
      </c>
      <c r="H196" s="32">
        <f>F196</f>
        <v>7003.0300000000007</v>
      </c>
      <c r="I196" s="32">
        <f>0.15*H196</f>
        <v>1050.4545000000001</v>
      </c>
      <c r="K196" s="32">
        <f>G196-I196</f>
        <v>1951.2755</v>
      </c>
    </row>
    <row r="197" spans="2:13" ht="15" customHeight="1" x14ac:dyDescent="0.25">
      <c r="B197" s="52" t="s">
        <v>57</v>
      </c>
      <c r="C197" s="129" t="s">
        <v>58</v>
      </c>
      <c r="D197" s="52" t="s">
        <v>157</v>
      </c>
      <c r="E197" s="128">
        <v>42921</v>
      </c>
      <c r="F197" s="32">
        <f>740.71+1893.69+2919.04</f>
        <v>5553.4400000000005</v>
      </c>
      <c r="G197" s="32">
        <v>0</v>
      </c>
      <c r="H197" s="32">
        <f t="shared" si="26"/>
        <v>5553.4400000000005</v>
      </c>
      <c r="I197" s="32">
        <f>G197</f>
        <v>0</v>
      </c>
    </row>
    <row r="198" spans="2:13" ht="15" customHeight="1" x14ac:dyDescent="0.25">
      <c r="B198" s="52" t="s">
        <v>39</v>
      </c>
      <c r="C198" s="129" t="s">
        <v>110</v>
      </c>
      <c r="D198" s="52" t="s">
        <v>139</v>
      </c>
      <c r="E198" s="128">
        <v>42923</v>
      </c>
      <c r="F198" s="32">
        <f>2679.84+3925.86+3539.22+10777.5+2853.26</f>
        <v>23775.68</v>
      </c>
      <c r="G198" s="32">
        <v>2082.5</v>
      </c>
      <c r="H198" s="32">
        <f t="shared" si="26"/>
        <v>23775.68</v>
      </c>
      <c r="I198" s="32">
        <f>G198</f>
        <v>2082.5</v>
      </c>
    </row>
    <row r="199" spans="2:13" ht="15" customHeight="1" x14ac:dyDescent="0.25">
      <c r="B199" s="52" t="s">
        <v>51</v>
      </c>
      <c r="C199" s="129" t="s">
        <v>52</v>
      </c>
      <c r="D199" s="52" t="s">
        <v>139</v>
      </c>
      <c r="E199" s="128">
        <v>42923</v>
      </c>
      <c r="F199" s="32">
        <f>1300+5631.13+1973.75+9947.92+2064.28</f>
        <v>20917.080000000002</v>
      </c>
      <c r="G199" s="32">
        <v>2287.5</v>
      </c>
      <c r="H199" s="32">
        <f t="shared" si="26"/>
        <v>20917.080000000002</v>
      </c>
      <c r="I199" s="32">
        <f>G199</f>
        <v>2287.5</v>
      </c>
    </row>
    <row r="200" spans="2:13" ht="15" customHeight="1" x14ac:dyDescent="0.25">
      <c r="B200" s="52" t="s">
        <v>40</v>
      </c>
      <c r="C200" s="129" t="s">
        <v>41</v>
      </c>
      <c r="D200" s="52" t="s">
        <v>139</v>
      </c>
      <c r="E200" s="128">
        <v>42929</v>
      </c>
      <c r="F200" s="32">
        <f>2525+4012.37+2460+552+1325</f>
        <v>10874.369999999999</v>
      </c>
      <c r="G200" s="32">
        <v>1425</v>
      </c>
      <c r="M200" s="32">
        <f>G200+F200</f>
        <v>12299.369999999999</v>
      </c>
    </row>
    <row r="201" spans="2:13" ht="15" customHeight="1" x14ac:dyDescent="0.25">
      <c r="B201" s="52" t="s">
        <v>24</v>
      </c>
      <c r="C201" s="129" t="s">
        <v>25</v>
      </c>
      <c r="D201" s="52" t="s">
        <v>158</v>
      </c>
      <c r="E201" s="128">
        <v>42933</v>
      </c>
      <c r="F201" s="32">
        <v>48311.76</v>
      </c>
      <c r="G201" s="32">
        <v>7480.67</v>
      </c>
      <c r="M201" s="32">
        <f>G201+F201</f>
        <v>55792.43</v>
      </c>
    </row>
    <row r="202" spans="2:13" ht="15" customHeight="1" x14ac:dyDescent="0.25">
      <c r="B202" s="52" t="s">
        <v>37</v>
      </c>
      <c r="C202" s="129" t="s">
        <v>38</v>
      </c>
      <c r="D202" s="52" t="s">
        <v>132</v>
      </c>
      <c r="E202" s="128">
        <v>42933</v>
      </c>
      <c r="F202" s="32">
        <f>11013.22+2553.01+318</f>
        <v>13884.23</v>
      </c>
      <c r="G202" s="32">
        <v>0</v>
      </c>
      <c r="H202" s="32">
        <f>F202</f>
        <v>13884.23</v>
      </c>
      <c r="I202" s="32">
        <v>0</v>
      </c>
    </row>
    <row r="203" spans="2:13" ht="15" customHeight="1" x14ac:dyDescent="0.25">
      <c r="B203" s="52" t="s">
        <v>103</v>
      </c>
      <c r="C203" s="129" t="s">
        <v>19</v>
      </c>
      <c r="D203" s="52" t="s">
        <v>83</v>
      </c>
      <c r="E203" s="128">
        <v>42934</v>
      </c>
      <c r="F203" s="32">
        <f>2637.1+22818.87+3446.53+1289.66</f>
        <v>30192.159999999996</v>
      </c>
      <c r="G203" s="32">
        <v>3195.16</v>
      </c>
      <c r="H203" s="32">
        <f>F203</f>
        <v>30192.159999999996</v>
      </c>
      <c r="I203" s="32">
        <f>G203</f>
        <v>3195.16</v>
      </c>
    </row>
    <row r="204" spans="2:13" ht="15" customHeight="1" x14ac:dyDescent="0.25">
      <c r="B204" s="52" t="s">
        <v>9</v>
      </c>
      <c r="C204" s="129" t="s">
        <v>10</v>
      </c>
      <c r="D204" s="52" t="s">
        <v>158</v>
      </c>
      <c r="E204" s="128">
        <v>42934</v>
      </c>
      <c r="F204" s="32">
        <f>24130.24+77491.91+92965.99+1266.66+11042.82</f>
        <v>206897.62000000002</v>
      </c>
      <c r="G204" s="32">
        <v>29246.45</v>
      </c>
      <c r="M204" s="32">
        <f>G204+F204</f>
        <v>236144.07000000004</v>
      </c>
    </row>
    <row r="205" spans="2:13" ht="15" customHeight="1" x14ac:dyDescent="0.25">
      <c r="B205" s="52" t="s">
        <v>49</v>
      </c>
      <c r="C205" s="129" t="s">
        <v>50</v>
      </c>
      <c r="D205" s="52" t="s">
        <v>158</v>
      </c>
      <c r="E205" s="128">
        <v>42940</v>
      </c>
      <c r="F205" s="32">
        <f>680.04+8420.02+2760.09</f>
        <v>11860.150000000001</v>
      </c>
      <c r="G205" s="32">
        <v>1660.36</v>
      </c>
      <c r="H205" s="32">
        <f>F205</f>
        <v>11860.150000000001</v>
      </c>
      <c r="I205" s="32">
        <f>G205</f>
        <v>1660.36</v>
      </c>
    </row>
    <row r="206" spans="2:13" ht="15" customHeight="1" x14ac:dyDescent="0.25">
      <c r="B206" s="52" t="s">
        <v>12</v>
      </c>
      <c r="C206" s="129" t="s">
        <v>13</v>
      </c>
      <c r="D206" s="52" t="s">
        <v>158</v>
      </c>
      <c r="E206" s="128">
        <v>42941</v>
      </c>
      <c r="F206" s="32">
        <f>1126.58+3542.96+8994.04+6204.98+1051.25</f>
        <v>20919.810000000001</v>
      </c>
      <c r="G206" s="32">
        <v>2375</v>
      </c>
      <c r="M206" s="32">
        <f>G206+F206</f>
        <v>23294.81</v>
      </c>
    </row>
    <row r="207" spans="2:13" ht="15" customHeight="1" x14ac:dyDescent="0.25">
      <c r="B207" s="52" t="s">
        <v>11</v>
      </c>
      <c r="C207" s="129" t="s">
        <v>102</v>
      </c>
      <c r="D207" s="52" t="s">
        <v>158</v>
      </c>
      <c r="E207" s="128">
        <v>42941</v>
      </c>
      <c r="F207" s="32">
        <f>7310.14+12327+11962.41+2308.88</f>
        <v>33908.43</v>
      </c>
      <c r="G207" s="32">
        <v>5865.7</v>
      </c>
      <c r="M207" s="32">
        <f>G207+F207</f>
        <v>39774.129999999997</v>
      </c>
    </row>
    <row r="208" spans="2:13" ht="15" customHeight="1" x14ac:dyDescent="0.25">
      <c r="B208" s="52" t="s">
        <v>6</v>
      </c>
      <c r="C208" s="129" t="s">
        <v>7</v>
      </c>
      <c r="D208" s="52" t="s">
        <v>158</v>
      </c>
      <c r="E208" s="128">
        <v>42942</v>
      </c>
      <c r="F208" s="32">
        <f>617.77+2190.18+8686.89+5376.41</f>
        <v>16871.25</v>
      </c>
      <c r="G208" s="32">
        <v>3185.01</v>
      </c>
      <c r="M208" s="32">
        <f>F208+G208</f>
        <v>20056.260000000002</v>
      </c>
    </row>
    <row r="209" spans="2:13" ht="15" customHeight="1" x14ac:dyDescent="0.25">
      <c r="B209" s="52" t="s">
        <v>6</v>
      </c>
      <c r="C209" s="129" t="s">
        <v>8</v>
      </c>
      <c r="D209" s="52" t="s">
        <v>158</v>
      </c>
      <c r="E209" s="128">
        <v>42942</v>
      </c>
      <c r="F209" s="32">
        <f>2861.6+37510.23+20474.58-8266+6200</f>
        <v>58780.41</v>
      </c>
      <c r="G209" s="32">
        <v>9368.59</v>
      </c>
      <c r="M209" s="32">
        <f>G209+F209</f>
        <v>68149</v>
      </c>
    </row>
    <row r="210" spans="2:13" ht="15" customHeight="1" x14ac:dyDescent="0.25">
      <c r="B210" s="52" t="s">
        <v>6</v>
      </c>
      <c r="C210" s="129" t="s">
        <v>26</v>
      </c>
      <c r="D210" s="52" t="s">
        <v>158</v>
      </c>
      <c r="E210" s="128">
        <v>42942</v>
      </c>
      <c r="F210" s="32">
        <f>1395+18243.13+10115+11104.57</f>
        <v>40857.699999999997</v>
      </c>
      <c r="G210" s="32">
        <v>6727.15</v>
      </c>
      <c r="M210" s="32">
        <f>G210+F210</f>
        <v>47584.85</v>
      </c>
    </row>
    <row r="211" spans="2:13" ht="15" customHeight="1" x14ac:dyDescent="0.25">
      <c r="B211" s="52" t="s">
        <v>6</v>
      </c>
      <c r="C211" s="129" t="s">
        <v>30</v>
      </c>
      <c r="D211" s="52" t="s">
        <v>158</v>
      </c>
      <c r="E211" s="128">
        <v>42942</v>
      </c>
      <c r="F211" s="32">
        <f>3618.91+25733.84+38855.14-649+4479.05</f>
        <v>72037.94</v>
      </c>
      <c r="G211" s="32">
        <v>11403.59</v>
      </c>
      <c r="M211" s="32">
        <f>F211+G211</f>
        <v>83441.53</v>
      </c>
    </row>
    <row r="212" spans="2:13" ht="15" customHeight="1" x14ac:dyDescent="0.25">
      <c r="B212" s="52" t="s">
        <v>6</v>
      </c>
      <c r="C212" s="129" t="s">
        <v>31</v>
      </c>
      <c r="D212" s="52" t="s">
        <v>158</v>
      </c>
      <c r="E212" s="128">
        <v>42942</v>
      </c>
      <c r="F212" s="32">
        <f>100+2903.33+5844.51+2426.61+12135.43</f>
        <v>23409.88</v>
      </c>
      <c r="G212" s="32">
        <v>4146.43</v>
      </c>
      <c r="M212" s="32">
        <f t="shared" ref="M212:M217" si="27">G212+F212</f>
        <v>27556.31</v>
      </c>
    </row>
    <row r="213" spans="2:13" ht="15" customHeight="1" x14ac:dyDescent="0.25">
      <c r="B213" s="52" t="s">
        <v>6</v>
      </c>
      <c r="C213" s="129" t="s">
        <v>33</v>
      </c>
      <c r="D213" s="52" t="s">
        <v>158</v>
      </c>
      <c r="E213" s="128">
        <v>42942</v>
      </c>
      <c r="F213" s="32">
        <f>1552.42+6853.91+5832.24+11228.3</f>
        <v>25466.87</v>
      </c>
      <c r="G213" s="32">
        <v>4450.04</v>
      </c>
      <c r="M213" s="32">
        <f t="shared" si="27"/>
        <v>29916.91</v>
      </c>
    </row>
    <row r="214" spans="2:13" ht="15" customHeight="1" x14ac:dyDescent="0.25">
      <c r="B214" s="52" t="s">
        <v>6</v>
      </c>
      <c r="C214" s="129" t="s">
        <v>34</v>
      </c>
      <c r="D214" s="52" t="s">
        <v>158</v>
      </c>
      <c r="E214" s="128">
        <v>42942</v>
      </c>
      <c r="F214" s="32">
        <f>1955.48+10649.05+24643.79+3950</f>
        <v>41198.32</v>
      </c>
      <c r="G214" s="32">
        <v>6777.75</v>
      </c>
      <c r="M214" s="32">
        <f t="shared" si="27"/>
        <v>47976.07</v>
      </c>
    </row>
    <row r="215" spans="2:13" ht="15" customHeight="1" x14ac:dyDescent="0.25">
      <c r="B215" s="52" t="s">
        <v>6</v>
      </c>
      <c r="C215" s="129" t="s">
        <v>109</v>
      </c>
      <c r="D215" s="52" t="s">
        <v>158</v>
      </c>
      <c r="E215" s="128">
        <v>42942</v>
      </c>
      <c r="F215" s="32">
        <f>2217.96+7933.23+12179.15+5299.07</f>
        <v>27629.409999999996</v>
      </c>
      <c r="G215" s="32">
        <v>4773.92</v>
      </c>
      <c r="M215" s="32">
        <f t="shared" si="27"/>
        <v>32403.329999999994</v>
      </c>
    </row>
    <row r="216" spans="2:13" ht="15" customHeight="1" x14ac:dyDescent="0.25">
      <c r="B216" s="52" t="s">
        <v>6</v>
      </c>
      <c r="C216" s="129" t="s">
        <v>36</v>
      </c>
      <c r="D216" s="52" t="s">
        <v>158</v>
      </c>
      <c r="E216" s="128">
        <v>42942</v>
      </c>
      <c r="F216" s="32">
        <f>2368.08+9064.04+1949.72+3474.82</f>
        <v>16856.66</v>
      </c>
      <c r="G216" s="32">
        <v>3185.01</v>
      </c>
      <c r="M216" s="32">
        <f t="shared" si="27"/>
        <v>20041.669999999998</v>
      </c>
    </row>
    <row r="217" spans="2:13" ht="15" customHeight="1" x14ac:dyDescent="0.25">
      <c r="B217" s="52" t="s">
        <v>6</v>
      </c>
      <c r="C217" s="129" t="s">
        <v>44</v>
      </c>
      <c r="D217" s="52" t="s">
        <v>158</v>
      </c>
      <c r="E217" s="128">
        <v>42942</v>
      </c>
      <c r="F217" s="32">
        <f>195.53+3428.62+6756.53+1749.8+62.5</f>
        <v>12192.98</v>
      </c>
      <c r="G217" s="32">
        <v>2496.84</v>
      </c>
      <c r="M217" s="32">
        <f t="shared" si="27"/>
        <v>14689.82</v>
      </c>
    </row>
    <row r="218" spans="2:13" ht="15" customHeight="1" x14ac:dyDescent="0.25">
      <c r="B218" s="52" t="s">
        <v>6</v>
      </c>
      <c r="C218" s="129" t="s">
        <v>45</v>
      </c>
      <c r="D218" s="52" t="s">
        <v>158</v>
      </c>
      <c r="E218" s="128">
        <v>42942</v>
      </c>
      <c r="F218" s="32">
        <f>800+7468.65+14624.94+2127.95+60</f>
        <v>25081.54</v>
      </c>
      <c r="G218" s="32">
        <v>4399.46</v>
      </c>
      <c r="M218" s="32">
        <f>G218+F218</f>
        <v>29481</v>
      </c>
    </row>
    <row r="219" spans="2:13" ht="15" customHeight="1" x14ac:dyDescent="0.25">
      <c r="B219" s="52" t="s">
        <v>6</v>
      </c>
      <c r="C219" s="129" t="s">
        <v>48</v>
      </c>
      <c r="D219" s="52" t="s">
        <v>158</v>
      </c>
      <c r="E219" s="128">
        <v>42942</v>
      </c>
      <c r="F219" s="32">
        <f>2637.21+33724.2+40814.32+0.07</f>
        <v>77175.8</v>
      </c>
      <c r="G219" s="32">
        <v>0</v>
      </c>
      <c r="J219" s="32">
        <f t="shared" ref="J219:J243" si="28">G219+F219</f>
        <v>77175.8</v>
      </c>
    </row>
    <row r="220" spans="2:13" ht="15" customHeight="1" x14ac:dyDescent="0.25">
      <c r="B220" s="52" t="s">
        <v>6</v>
      </c>
      <c r="C220" s="129" t="s">
        <v>54</v>
      </c>
      <c r="D220" s="52" t="s">
        <v>158</v>
      </c>
      <c r="E220" s="128">
        <v>42942</v>
      </c>
      <c r="F220" s="32">
        <f>1153.66+2739.36+751.36+125</f>
        <v>4769.38</v>
      </c>
      <c r="G220" s="32">
        <v>1403.8</v>
      </c>
      <c r="M220" s="32">
        <f>G220+F220</f>
        <v>6173.18</v>
      </c>
    </row>
    <row r="221" spans="2:13" ht="15" customHeight="1" x14ac:dyDescent="0.25">
      <c r="B221" s="52" t="s">
        <v>6</v>
      </c>
      <c r="C221" s="129" t="s">
        <v>55</v>
      </c>
      <c r="D221" s="52" t="s">
        <v>158</v>
      </c>
      <c r="E221" s="128">
        <v>42942</v>
      </c>
      <c r="F221" s="32">
        <f>64.99+2125+819.68</f>
        <v>3009.6699999999996</v>
      </c>
      <c r="G221" s="32">
        <v>1140.68</v>
      </c>
      <c r="M221" s="32">
        <f>G221+F221</f>
        <v>4150.3499999999995</v>
      </c>
    </row>
    <row r="222" spans="2:13" ht="15" customHeight="1" x14ac:dyDescent="0.25">
      <c r="B222" s="52" t="s">
        <v>6</v>
      </c>
      <c r="C222" s="129" t="s">
        <v>56</v>
      </c>
      <c r="D222" s="52" t="s">
        <v>158</v>
      </c>
      <c r="E222" s="128">
        <v>42942</v>
      </c>
      <c r="F222" s="32">
        <f>3621.61+18231.31+11230.34+8013.32</f>
        <v>41096.58</v>
      </c>
      <c r="G222" s="32">
        <v>6757.51</v>
      </c>
      <c r="M222" s="32">
        <f>G222+F222</f>
        <v>47854.090000000004</v>
      </c>
    </row>
    <row r="223" spans="2:13" ht="15" customHeight="1" x14ac:dyDescent="0.25">
      <c r="B223" s="52" t="s">
        <v>6</v>
      </c>
      <c r="C223" s="129" t="s">
        <v>115</v>
      </c>
      <c r="D223" s="52" t="s">
        <v>158</v>
      </c>
      <c r="E223" s="128">
        <v>42942</v>
      </c>
      <c r="F223" s="32">
        <f>12958.56+66993.9+55093.32+8266+4628.03</f>
        <v>147939.81</v>
      </c>
      <c r="G223" s="32">
        <v>27194.6</v>
      </c>
      <c r="M223" s="32">
        <f>G223+F223</f>
        <v>175134.41</v>
      </c>
    </row>
    <row r="224" spans="2:13" ht="15" customHeight="1" x14ac:dyDescent="0.25">
      <c r="B224" s="52" t="s">
        <v>6</v>
      </c>
      <c r="C224" s="129" t="s">
        <v>60</v>
      </c>
      <c r="D224" s="52" t="s">
        <v>158</v>
      </c>
      <c r="E224" s="128">
        <v>42942</v>
      </c>
      <c r="F224" s="32">
        <f>468.99+11378.73+3475.84+29.95+5598.45</f>
        <v>20951.96</v>
      </c>
      <c r="G224" s="32">
        <v>3782.13</v>
      </c>
      <c r="M224" s="32">
        <f>G224+F224</f>
        <v>24734.09</v>
      </c>
    </row>
    <row r="225" spans="2:13" ht="15" customHeight="1" x14ac:dyDescent="0.25">
      <c r="B225" s="52" t="s">
        <v>6</v>
      </c>
      <c r="C225" s="129" t="s">
        <v>62</v>
      </c>
      <c r="D225" s="52" t="s">
        <v>158</v>
      </c>
      <c r="E225" s="128">
        <v>42942</v>
      </c>
      <c r="F225" s="32">
        <f>649+3865.81+209.5</f>
        <v>4724.3099999999995</v>
      </c>
      <c r="G225" s="32">
        <v>1393.7</v>
      </c>
      <c r="J225" s="32">
        <f t="shared" si="28"/>
        <v>6118.0099999999993</v>
      </c>
    </row>
    <row r="226" spans="2:13" ht="15" customHeight="1" x14ac:dyDescent="0.25">
      <c r="B226" s="52" t="s">
        <v>6</v>
      </c>
      <c r="C226" s="129" t="s">
        <v>63</v>
      </c>
      <c r="D226" s="52" t="s">
        <v>158</v>
      </c>
      <c r="E226" s="128">
        <v>42942</v>
      </c>
      <c r="F226" s="32">
        <f>574.78+2969.1</f>
        <v>3543.88</v>
      </c>
      <c r="G226" s="32">
        <v>1221.6300000000001</v>
      </c>
      <c r="J226" s="32">
        <f t="shared" si="28"/>
        <v>4765.51</v>
      </c>
    </row>
    <row r="227" spans="2:13" ht="15" customHeight="1" x14ac:dyDescent="0.25">
      <c r="B227" s="52" t="s">
        <v>6</v>
      </c>
      <c r="C227" s="129" t="s">
        <v>64</v>
      </c>
      <c r="D227" s="52" t="s">
        <v>158</v>
      </c>
      <c r="E227" s="128">
        <v>42942</v>
      </c>
      <c r="F227" s="32">
        <f>6637.47+28422+27645.59+8737.94+5559.89</f>
        <v>77002.89</v>
      </c>
      <c r="G227" s="32">
        <v>12060.61</v>
      </c>
      <c r="J227" s="32">
        <f t="shared" si="28"/>
        <v>89063.5</v>
      </c>
    </row>
    <row r="228" spans="2:13" ht="15" customHeight="1" x14ac:dyDescent="0.25">
      <c r="B228" s="52" t="s">
        <v>6</v>
      </c>
      <c r="C228" s="129" t="s">
        <v>67</v>
      </c>
      <c r="D228" s="52" t="s">
        <v>158</v>
      </c>
      <c r="E228" s="128">
        <v>42942</v>
      </c>
      <c r="F228" s="32">
        <f>637.3+6974.73+12774.11+29.27+2099.53</f>
        <v>22514.94</v>
      </c>
      <c r="G228" s="32">
        <v>4014.9</v>
      </c>
      <c r="J228" s="32">
        <f t="shared" si="28"/>
        <v>26529.84</v>
      </c>
    </row>
    <row r="229" spans="2:13" ht="15" customHeight="1" x14ac:dyDescent="0.25">
      <c r="B229" s="52" t="s">
        <v>153</v>
      </c>
      <c r="C229" s="129" t="s">
        <v>27</v>
      </c>
      <c r="D229" s="52" t="s">
        <v>158</v>
      </c>
      <c r="E229" s="128">
        <v>42943</v>
      </c>
      <c r="F229" s="32">
        <f>5539.07+57954.8+6811.09+2336.77+2084.56</f>
        <v>74726.290000000008</v>
      </c>
      <c r="G229" s="32">
        <v>9081.7900000000009</v>
      </c>
      <c r="J229" s="32">
        <f t="shared" si="28"/>
        <v>83808.080000000016</v>
      </c>
    </row>
    <row r="230" spans="2:13" ht="15" customHeight="1" x14ac:dyDescent="0.25">
      <c r="B230" s="52" t="s">
        <v>20</v>
      </c>
      <c r="C230" s="129" t="s">
        <v>22</v>
      </c>
      <c r="D230" s="52" t="s">
        <v>158</v>
      </c>
      <c r="E230" s="128">
        <v>42944</v>
      </c>
      <c r="F230" s="32">
        <f>4192.42+52223.73+34100.76+2029.29+1677.46</f>
        <v>94223.66</v>
      </c>
      <c r="G230" s="32">
        <v>6893.23</v>
      </c>
      <c r="J230" s="32">
        <f t="shared" si="28"/>
        <v>101116.89</v>
      </c>
    </row>
    <row r="231" spans="2:13" ht="15" customHeight="1" x14ac:dyDescent="0.25">
      <c r="B231" s="52" t="s">
        <v>20</v>
      </c>
      <c r="C231" s="129" t="s">
        <v>21</v>
      </c>
      <c r="D231" s="52" t="s">
        <v>158</v>
      </c>
      <c r="E231" s="128">
        <v>42944</v>
      </c>
      <c r="F231" s="32">
        <f>560+3003.69+1042.45+3336.76+75</f>
        <v>8017.9000000000005</v>
      </c>
      <c r="G231" s="32">
        <v>3783.91</v>
      </c>
      <c r="M231" s="32">
        <f>F231+G231</f>
        <v>11801.810000000001</v>
      </c>
    </row>
    <row r="232" spans="2:13" ht="15" customHeight="1" x14ac:dyDescent="0.25">
      <c r="B232" s="52" t="s">
        <v>20</v>
      </c>
      <c r="C232" s="129" t="s">
        <v>18</v>
      </c>
      <c r="D232" s="52" t="s">
        <v>158</v>
      </c>
      <c r="E232" s="128">
        <v>42944</v>
      </c>
      <c r="F232" s="32">
        <f>16814.71+76611.15+45579.66+10783.04+8515.85</f>
        <v>158304.41</v>
      </c>
      <c r="G232" s="32">
        <v>18271.23</v>
      </c>
      <c r="J232" s="32">
        <f t="shared" si="28"/>
        <v>176575.64</v>
      </c>
    </row>
    <row r="233" spans="2:13" ht="15" customHeight="1" x14ac:dyDescent="0.25">
      <c r="B233" s="52" t="s">
        <v>20</v>
      </c>
      <c r="C233" s="129" t="s">
        <v>46</v>
      </c>
      <c r="D233" s="52" t="s">
        <v>158</v>
      </c>
      <c r="E233" s="128">
        <v>42944</v>
      </c>
      <c r="F233" s="32">
        <f>11150.18+45516.43+34590.68+6400</f>
        <v>97657.290000000008</v>
      </c>
      <c r="G233" s="32">
        <v>14678.95</v>
      </c>
      <c r="J233" s="32">
        <f t="shared" si="28"/>
        <v>112336.24</v>
      </c>
    </row>
    <row r="234" spans="2:13" ht="15" customHeight="1" x14ac:dyDescent="0.25">
      <c r="B234" s="52" t="s">
        <v>35</v>
      </c>
      <c r="C234" s="129" t="s">
        <v>108</v>
      </c>
      <c r="D234" s="52" t="s">
        <v>158</v>
      </c>
      <c r="E234" s="128">
        <v>42944</v>
      </c>
      <c r="F234" s="32">
        <f>1703.31+30486.85+10987.83+8080</f>
        <v>51257.99</v>
      </c>
      <c r="G234" s="32">
        <v>4689.82</v>
      </c>
      <c r="J234" s="32">
        <f t="shared" si="28"/>
        <v>55947.81</v>
      </c>
    </row>
    <row r="235" spans="2:13" ht="15" customHeight="1" x14ac:dyDescent="0.25">
      <c r="B235" s="52" t="s">
        <v>148</v>
      </c>
      <c r="C235" s="129" t="s">
        <v>17</v>
      </c>
      <c r="D235" s="52" t="s">
        <v>158</v>
      </c>
      <c r="E235" s="128">
        <v>42944</v>
      </c>
      <c r="F235" s="32">
        <f>618.1+2631.66+902.36+2363.32+347.54</f>
        <v>6862.9800000000005</v>
      </c>
      <c r="G235" s="32">
        <v>1029.5</v>
      </c>
      <c r="J235" s="32">
        <f t="shared" si="28"/>
        <v>7892.4800000000005</v>
      </c>
    </row>
    <row r="236" spans="2:13" ht="15" customHeight="1" x14ac:dyDescent="0.25">
      <c r="B236" s="52" t="s">
        <v>140</v>
      </c>
      <c r="C236" s="129" t="s">
        <v>116</v>
      </c>
      <c r="D236" s="52" t="s">
        <v>158</v>
      </c>
      <c r="E236" s="128">
        <v>42944</v>
      </c>
      <c r="F236" s="32">
        <f>158+9242.85+22869.71+167.26</f>
        <v>32437.819999999996</v>
      </c>
      <c r="G236" s="32">
        <v>11296.33</v>
      </c>
      <c r="J236" s="32">
        <f t="shared" si="28"/>
        <v>43734.149999999994</v>
      </c>
    </row>
    <row r="237" spans="2:13" ht="15" customHeight="1" x14ac:dyDescent="0.25">
      <c r="B237" s="52" t="s">
        <v>29</v>
      </c>
      <c r="C237" s="129" t="s">
        <v>106</v>
      </c>
      <c r="D237" s="52" t="s">
        <v>132</v>
      </c>
      <c r="E237" s="128">
        <v>42946</v>
      </c>
      <c r="F237" s="32">
        <f>349.24+470.62+6014.67+396.86</f>
        <v>7231.3899999999994</v>
      </c>
      <c r="G237" s="32">
        <v>163.18</v>
      </c>
      <c r="J237" s="32">
        <f t="shared" si="28"/>
        <v>7394.57</v>
      </c>
    </row>
    <row r="238" spans="2:13" ht="15" customHeight="1" x14ac:dyDescent="0.25">
      <c r="B238" s="52" t="s">
        <v>65</v>
      </c>
      <c r="C238" s="129" t="s">
        <v>66</v>
      </c>
      <c r="D238" s="52" t="s">
        <v>157</v>
      </c>
      <c r="E238" s="128">
        <v>42947</v>
      </c>
      <c r="F238" s="32">
        <f>12056.28+56708.2+25463.47+4508.69+150</f>
        <v>98886.64</v>
      </c>
      <c r="G238" s="32">
        <v>7781.14</v>
      </c>
      <c r="J238" s="32">
        <f t="shared" si="28"/>
        <v>106667.78</v>
      </c>
    </row>
    <row r="239" spans="2:13" ht="15" customHeight="1" x14ac:dyDescent="0.25">
      <c r="B239" s="52" t="s">
        <v>23</v>
      </c>
      <c r="C239" s="129" t="s">
        <v>104</v>
      </c>
      <c r="D239" s="52" t="s">
        <v>158</v>
      </c>
      <c r="E239" s="128">
        <v>42947</v>
      </c>
      <c r="F239" s="32">
        <f>1788.42+7272.36+2428.55+10747.59+1348.85</f>
        <v>23585.769999999997</v>
      </c>
      <c r="G239" s="32">
        <v>3537.84</v>
      </c>
      <c r="J239" s="32">
        <f t="shared" si="28"/>
        <v>27123.609999999997</v>
      </c>
    </row>
    <row r="240" spans="2:13" ht="15" customHeight="1" x14ac:dyDescent="0.25">
      <c r="B240" s="52" t="s">
        <v>3</v>
      </c>
      <c r="C240" s="129" t="s">
        <v>4</v>
      </c>
      <c r="D240" s="52" t="s">
        <v>132</v>
      </c>
      <c r="E240" s="128">
        <v>42948</v>
      </c>
      <c r="F240" s="32">
        <f>59.15+2848.19+556.75</f>
        <v>3464.09</v>
      </c>
      <c r="G240" s="32">
        <v>837.89</v>
      </c>
      <c r="J240" s="32">
        <f t="shared" si="28"/>
        <v>4301.9800000000005</v>
      </c>
    </row>
    <row r="241" spans="2:10" ht="15" customHeight="1" x14ac:dyDescent="0.25">
      <c r="B241" s="52" t="s">
        <v>43</v>
      </c>
      <c r="C241" s="129" t="s">
        <v>112</v>
      </c>
      <c r="D241" s="52" t="s">
        <v>158</v>
      </c>
      <c r="E241" s="128">
        <v>42948</v>
      </c>
      <c r="F241" s="32">
        <f>13721+26091.77+30663.25+14104.76</f>
        <v>84580.78</v>
      </c>
      <c r="G241" s="32">
        <v>12578.5</v>
      </c>
      <c r="J241" s="32">
        <f t="shared" si="28"/>
        <v>97159.28</v>
      </c>
    </row>
    <row r="242" spans="2:10" ht="15" customHeight="1" x14ac:dyDescent="0.25">
      <c r="B242" s="52" t="s">
        <v>53</v>
      </c>
      <c r="C242" s="129" t="s">
        <v>113</v>
      </c>
      <c r="D242" s="52" t="s">
        <v>158</v>
      </c>
      <c r="E242" s="128">
        <v>42954</v>
      </c>
      <c r="F242" s="32">
        <f>13715.93+78359.92+109065.15+1381.28</f>
        <v>202522.28</v>
      </c>
      <c r="G242" s="32">
        <v>28306.43</v>
      </c>
      <c r="J242" s="32">
        <f t="shared" si="28"/>
        <v>230828.71</v>
      </c>
    </row>
    <row r="243" spans="2:10" ht="15" customHeight="1" x14ac:dyDescent="0.25">
      <c r="B243" s="52" t="s">
        <v>103</v>
      </c>
      <c r="C243" s="129" t="s">
        <v>19</v>
      </c>
      <c r="D243" s="52" t="s">
        <v>132</v>
      </c>
      <c r="E243" s="128">
        <v>42961</v>
      </c>
      <c r="F243" s="32">
        <f>4206.31+25385+5281.94+1878.53</f>
        <v>36751.78</v>
      </c>
      <c r="G243" s="32">
        <v>3223.78</v>
      </c>
      <c r="J243" s="32">
        <f t="shared" si="28"/>
        <v>39975.56</v>
      </c>
    </row>
    <row r="244" spans="2:10" ht="15" customHeight="1" x14ac:dyDescent="0.25"/>
    <row r="245" spans="2:10" ht="15" customHeight="1" x14ac:dyDescent="0.25"/>
    <row r="246" spans="2:10" ht="15" customHeight="1" x14ac:dyDescent="0.25"/>
    <row r="247" spans="2:10" ht="15" customHeight="1" x14ac:dyDescent="0.25"/>
    <row r="248" spans="2:10" ht="15" customHeight="1" x14ac:dyDescent="0.25"/>
    <row r="249" spans="2:10" ht="15" customHeight="1" x14ac:dyDescent="0.25"/>
    <row r="250" spans="2:10" ht="15" customHeight="1" x14ac:dyDescent="0.25"/>
    <row r="251" spans="2:10" ht="15" customHeight="1" x14ac:dyDescent="0.25"/>
    <row r="252" spans="2:10" ht="15" customHeight="1" x14ac:dyDescent="0.25"/>
    <row r="253" spans="2:10" ht="15" customHeight="1" x14ac:dyDescent="0.25"/>
    <row r="254" spans="2:10" ht="15" customHeight="1" x14ac:dyDescent="0.25"/>
    <row r="255" spans="2:10" ht="15" customHeight="1" x14ac:dyDescent="0.25"/>
    <row r="256" spans="2:10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24.95" customHeight="1" x14ac:dyDescent="0.25"/>
    <row r="271" ht="24.95" customHeight="1" x14ac:dyDescent="0.25"/>
    <row r="272" ht="24.95" customHeight="1" x14ac:dyDescent="0.25"/>
    <row r="273" ht="24.95" customHeight="1" x14ac:dyDescent="0.25"/>
    <row r="274" ht="24.95" customHeight="1" x14ac:dyDescent="0.25"/>
    <row r="275" ht="24.95" customHeight="1" x14ac:dyDescent="0.25"/>
    <row r="276" ht="24.95" customHeight="1" x14ac:dyDescent="0.25"/>
    <row r="277" ht="24.95" customHeight="1" x14ac:dyDescent="0.25"/>
    <row r="278" ht="24.95" customHeight="1" x14ac:dyDescent="0.25"/>
    <row r="279" ht="24.95" customHeight="1" x14ac:dyDescent="0.25"/>
    <row r="280" ht="24.95" customHeight="1" x14ac:dyDescent="0.25"/>
    <row r="281" ht="24.95" customHeight="1" x14ac:dyDescent="0.25"/>
    <row r="282" ht="24.95" customHeight="1" x14ac:dyDescent="0.25"/>
    <row r="283" ht="24.95" customHeight="1" x14ac:dyDescent="0.25"/>
    <row r="284" ht="24.95" customHeight="1" x14ac:dyDescent="0.25"/>
    <row r="285" ht="24.95" customHeight="1" x14ac:dyDescent="0.25"/>
    <row r="286" ht="24.95" customHeight="1" x14ac:dyDescent="0.25"/>
    <row r="287" ht="24.95" customHeight="1" x14ac:dyDescent="0.25"/>
    <row r="288" ht="24.95" customHeight="1" x14ac:dyDescent="0.25"/>
    <row r="289" spans="8:9" ht="24.95" customHeight="1" x14ac:dyDescent="0.25"/>
    <row r="290" spans="8:9" ht="24.95" customHeight="1" x14ac:dyDescent="0.25"/>
    <row r="291" spans="8:9" ht="24.95" customHeight="1" x14ac:dyDescent="0.25"/>
    <row r="292" spans="8:9" ht="24.95" customHeight="1" x14ac:dyDescent="0.25"/>
    <row r="293" spans="8:9" ht="24.95" customHeight="1" x14ac:dyDescent="0.25"/>
    <row r="294" spans="8:9" ht="24.95" customHeight="1" x14ac:dyDescent="0.25"/>
    <row r="295" spans="8:9" ht="24.95" customHeight="1" x14ac:dyDescent="0.25"/>
    <row r="296" spans="8:9" ht="24.95" customHeight="1" x14ac:dyDescent="0.25"/>
    <row r="297" spans="8:9" ht="24.95" customHeight="1" x14ac:dyDescent="0.25"/>
    <row r="298" spans="8:9" ht="24.95" customHeight="1" x14ac:dyDescent="0.25"/>
    <row r="299" spans="8:9" ht="24.95" customHeight="1" x14ac:dyDescent="0.25"/>
    <row r="300" spans="8:9" ht="24.95" customHeight="1" x14ac:dyDescent="0.25"/>
    <row r="301" spans="8:9" ht="24.95" customHeight="1" x14ac:dyDescent="0.25"/>
    <row r="302" spans="8:9" ht="24.95" customHeight="1" x14ac:dyDescent="0.25"/>
    <row r="303" spans="8:9" ht="24.95" customHeight="1" x14ac:dyDescent="0.25">
      <c r="H303" s="32">
        <f>SUM(H5:H302)</f>
        <v>5234657.3100000024</v>
      </c>
      <c r="I303" s="32">
        <f>SUM(I5:I302)</f>
        <v>736262.63400000066</v>
      </c>
    </row>
    <row r="304" spans="8:9" ht="24.95" customHeight="1" x14ac:dyDescent="0.25">
      <c r="I304" s="32">
        <f>H303+I303</f>
        <v>5970919.9440000029</v>
      </c>
    </row>
    <row r="305" spans="1:14" ht="24.95" customHeight="1" x14ac:dyDescent="0.25">
      <c r="A305" s="52" t="s">
        <v>127</v>
      </c>
    </row>
    <row r="306" spans="1:14" ht="24.95" customHeight="1" x14ac:dyDescent="0.25">
      <c r="B306" s="52" t="s">
        <v>6</v>
      </c>
      <c r="C306" s="129" t="s">
        <v>119</v>
      </c>
      <c r="D306" s="52" t="s">
        <v>72</v>
      </c>
      <c r="E306" s="128">
        <v>42668</v>
      </c>
      <c r="F306" s="32">
        <v>97373.09</v>
      </c>
      <c r="H306" s="32">
        <v>97373.09</v>
      </c>
    </row>
    <row r="307" spans="1:14" ht="24.95" customHeight="1" x14ac:dyDescent="0.25">
      <c r="B307" s="52" t="s">
        <v>6</v>
      </c>
      <c r="C307" s="129" t="s">
        <v>119</v>
      </c>
      <c r="D307" s="52" t="s">
        <v>76</v>
      </c>
      <c r="E307" s="128">
        <v>42765</v>
      </c>
      <c r="F307" s="32">
        <v>93790.68</v>
      </c>
      <c r="G307" s="32">
        <v>0</v>
      </c>
      <c r="H307" s="32">
        <f>F307</f>
        <v>93790.68</v>
      </c>
    </row>
    <row r="308" spans="1:14" ht="24.95" customHeight="1" x14ac:dyDescent="0.25">
      <c r="B308" s="52" t="s">
        <v>6</v>
      </c>
      <c r="C308" s="129" t="s">
        <v>119</v>
      </c>
      <c r="D308" s="52" t="s">
        <v>81</v>
      </c>
      <c r="E308" s="128">
        <v>42851</v>
      </c>
      <c r="F308" s="32">
        <v>133697.04</v>
      </c>
      <c r="G308" s="32">
        <v>0</v>
      </c>
      <c r="H308" s="32">
        <f>F308</f>
        <v>133697.04</v>
      </c>
    </row>
    <row r="309" spans="1:14" ht="24.95" customHeight="1" x14ac:dyDescent="0.25">
      <c r="B309" s="52" t="s">
        <v>6</v>
      </c>
      <c r="C309" s="129" t="s">
        <v>119</v>
      </c>
      <c r="D309" s="52" t="s">
        <v>158</v>
      </c>
      <c r="E309" s="128">
        <v>42942</v>
      </c>
      <c r="F309" s="32">
        <v>175139.19</v>
      </c>
    </row>
    <row r="310" spans="1:14" ht="24.95" customHeight="1" x14ac:dyDescent="0.25">
      <c r="A310" s="52" t="s">
        <v>128</v>
      </c>
      <c r="F310" s="32">
        <f t="shared" ref="F310:N310" si="29">SUM(F306:F309)</f>
        <v>500000</v>
      </c>
      <c r="G310" s="32">
        <f t="shared" si="29"/>
        <v>0</v>
      </c>
      <c r="H310" s="32">
        <f t="shared" si="29"/>
        <v>324860.81</v>
      </c>
      <c r="I310" s="32">
        <f t="shared" si="29"/>
        <v>0</v>
      </c>
      <c r="J310" s="32">
        <f t="shared" si="29"/>
        <v>0</v>
      </c>
      <c r="K310" s="32">
        <f t="shared" si="29"/>
        <v>0</v>
      </c>
      <c r="L310" s="52">
        <f t="shared" si="29"/>
        <v>0</v>
      </c>
      <c r="M310" s="32">
        <f>SUM(M306:M309)</f>
        <v>0</v>
      </c>
      <c r="N310" s="52">
        <f t="shared" si="29"/>
        <v>0</v>
      </c>
    </row>
    <row r="311" spans="1:14" ht="24.95" customHeight="1" x14ac:dyDescent="0.25">
      <c r="A311" s="52" t="s">
        <v>129</v>
      </c>
    </row>
    <row r="312" spans="1:14" ht="24.95" customHeight="1" x14ac:dyDescent="0.25">
      <c r="H312" s="32">
        <v>423.12</v>
      </c>
    </row>
    <row r="313" spans="1:14" ht="24.95" customHeight="1" x14ac:dyDescent="0.25"/>
    <row r="314" spans="1:14" ht="24.95" customHeight="1" x14ac:dyDescent="0.25"/>
    <row r="316" spans="1:14" ht="3.95" customHeight="1" x14ac:dyDescent="0.25"/>
  </sheetData>
  <autoFilter ref="A4:Q242"/>
  <sortState ref="C18:M37">
    <sortCondition ref="C18"/>
  </sortState>
  <mergeCells count="4">
    <mergeCell ref="A1:N1"/>
    <mergeCell ref="F2:G2"/>
    <mergeCell ref="H2:I2"/>
    <mergeCell ref="K2:L2"/>
  </mergeCells>
  <pageMargins left="0.7" right="0.7" top="0.75" bottom="0.75" header="0.3" footer="0.3"/>
  <pageSetup orientation="portrait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workbookViewId="0">
      <selection activeCell="P6" sqref="P6"/>
    </sheetView>
  </sheetViews>
  <sheetFormatPr defaultColWidth="0" defaultRowHeight="15" zeroHeight="1" x14ac:dyDescent="0.25"/>
  <cols>
    <col min="1" max="1" width="43.42578125" style="53" customWidth="1"/>
    <col min="2" max="2" width="8.85546875" style="53" customWidth="1"/>
    <col min="3" max="3" width="15.7109375" style="53" customWidth="1"/>
    <col min="4" max="4" width="5.140625" style="53" customWidth="1"/>
    <col min="5" max="5" width="10.7109375" style="53" bestFit="1" customWidth="1"/>
    <col min="6" max="6" width="10.85546875" style="53" bestFit="1" customWidth="1"/>
    <col min="7" max="7" width="14.28515625" style="53" bestFit="1" customWidth="1"/>
    <col min="8" max="8" width="10.7109375" style="53" bestFit="1" customWidth="1"/>
    <col min="9" max="9" width="11" style="53" bestFit="1" customWidth="1"/>
    <col min="10" max="10" width="10.7109375" style="53" bestFit="1" customWidth="1"/>
    <col min="11" max="11" width="9.85546875" style="53" bestFit="1" customWidth="1"/>
    <col min="12" max="12" width="10" style="53" bestFit="1" customWidth="1"/>
    <col min="13" max="13" width="9.7109375" style="53" bestFit="1" customWidth="1"/>
    <col min="14" max="14" width="10.28515625" style="53" bestFit="1" customWidth="1"/>
    <col min="15" max="16" width="9.7109375" style="53" bestFit="1" customWidth="1"/>
    <col min="17" max="21" width="0" style="70" hidden="1" customWidth="1"/>
    <col min="22" max="22" width="0" style="53" hidden="1" customWidth="1"/>
    <col min="23" max="16384" width="9.140625" style="53" hidden="1"/>
  </cols>
  <sheetData>
    <row r="1" spans="1:21" ht="15.75" thickTop="1" x14ac:dyDescent="0.25">
      <c r="A1" s="171" t="str">
        <f>Detail!A1</f>
        <v>Requests Received As Of 08/18/2017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3"/>
      <c r="Q1" s="53"/>
      <c r="R1" s="53"/>
      <c r="S1" s="53"/>
      <c r="T1" s="53"/>
      <c r="U1" s="53"/>
    </row>
    <row r="2" spans="1:21" x14ac:dyDescent="0.25">
      <c r="A2" s="110" t="s">
        <v>130</v>
      </c>
      <c r="B2" s="108" t="s">
        <v>0</v>
      </c>
      <c r="C2" s="110" t="s">
        <v>131</v>
      </c>
      <c r="D2" s="110"/>
      <c r="E2" s="110" t="s">
        <v>70</v>
      </c>
      <c r="F2" s="110" t="s">
        <v>71</v>
      </c>
      <c r="G2" s="54" t="s">
        <v>73</v>
      </c>
      <c r="H2" s="55" t="s">
        <v>74</v>
      </c>
      <c r="I2" s="55" t="s">
        <v>75</v>
      </c>
      <c r="J2" s="54" t="s">
        <v>77</v>
      </c>
      <c r="K2" s="56" t="s">
        <v>78</v>
      </c>
      <c r="L2" s="56" t="s">
        <v>79</v>
      </c>
      <c r="M2" s="56" t="s">
        <v>80</v>
      </c>
      <c r="N2" s="56" t="s">
        <v>82</v>
      </c>
      <c r="O2" s="56" t="s">
        <v>83</v>
      </c>
      <c r="P2" s="57" t="s">
        <v>132</v>
      </c>
      <c r="Q2" s="53"/>
      <c r="R2" s="53"/>
      <c r="S2" s="53"/>
      <c r="T2" s="53"/>
      <c r="U2" s="53"/>
    </row>
    <row r="3" spans="1:21" ht="15.75" thickBot="1" x14ac:dyDescent="0.3">
      <c r="A3" s="111" t="s">
        <v>84</v>
      </c>
      <c r="B3" s="109"/>
      <c r="C3" s="111" t="s">
        <v>133</v>
      </c>
      <c r="D3" s="112"/>
      <c r="E3" s="115">
        <v>42612</v>
      </c>
      <c r="F3" s="115">
        <v>42643</v>
      </c>
      <c r="G3" s="115">
        <v>42673</v>
      </c>
      <c r="H3" s="115">
        <v>42704</v>
      </c>
      <c r="I3" s="115">
        <v>42734</v>
      </c>
      <c r="J3" s="115">
        <v>42765</v>
      </c>
      <c r="K3" s="115">
        <v>42796</v>
      </c>
      <c r="L3" s="115">
        <v>42824</v>
      </c>
      <c r="M3" s="115">
        <v>42855</v>
      </c>
      <c r="N3" s="115">
        <v>42885</v>
      </c>
      <c r="O3" s="115">
        <v>42916</v>
      </c>
      <c r="P3" s="58">
        <v>42946</v>
      </c>
      <c r="Q3" s="53"/>
      <c r="R3" s="53"/>
      <c r="S3" s="53"/>
      <c r="T3" s="53"/>
      <c r="U3" s="53"/>
    </row>
    <row r="4" spans="1:21" ht="15.75" thickTop="1" x14ac:dyDescent="0.25">
      <c r="A4" s="59" t="s">
        <v>3</v>
      </c>
      <c r="B4" s="60" t="s">
        <v>4</v>
      </c>
      <c r="C4" s="113" t="s">
        <v>134</v>
      </c>
      <c r="D4" s="114"/>
      <c r="E4" s="61">
        <v>42611</v>
      </c>
      <c r="F4" s="61">
        <v>42643</v>
      </c>
      <c r="G4" s="61">
        <v>42673</v>
      </c>
      <c r="H4" s="61">
        <v>42704</v>
      </c>
      <c r="I4" s="61">
        <v>42726</v>
      </c>
      <c r="J4" s="61">
        <v>42766</v>
      </c>
      <c r="K4" s="62">
        <v>42793</v>
      </c>
      <c r="L4" s="62">
        <v>42817</v>
      </c>
      <c r="M4" s="62">
        <v>42855</v>
      </c>
      <c r="N4" s="62">
        <v>42886</v>
      </c>
      <c r="O4" s="62">
        <v>42913</v>
      </c>
      <c r="P4" s="62">
        <v>42949</v>
      </c>
      <c r="Q4" s="53"/>
      <c r="R4" s="53"/>
      <c r="S4" s="53"/>
      <c r="T4" s="53"/>
      <c r="U4" s="53"/>
    </row>
    <row r="5" spans="1:21" x14ac:dyDescent="0.25">
      <c r="A5" s="59" t="s">
        <v>103</v>
      </c>
      <c r="B5" s="60" t="s">
        <v>19</v>
      </c>
      <c r="C5" s="106" t="s">
        <v>134</v>
      </c>
      <c r="D5" s="107"/>
      <c r="E5" s="61">
        <v>42692</v>
      </c>
      <c r="F5" s="82">
        <v>42711</v>
      </c>
      <c r="G5" s="82">
        <v>42718</v>
      </c>
      <c r="H5" s="82">
        <v>42726</v>
      </c>
      <c r="I5" s="61">
        <v>42726</v>
      </c>
      <c r="J5" s="61">
        <v>42766</v>
      </c>
      <c r="K5" s="82">
        <v>42807</v>
      </c>
      <c r="L5" s="82">
        <v>42839</v>
      </c>
      <c r="M5" s="82">
        <v>42865</v>
      </c>
      <c r="N5" s="62">
        <v>42892</v>
      </c>
      <c r="O5" s="62">
        <v>42934</v>
      </c>
      <c r="P5" s="62">
        <v>42961</v>
      </c>
      <c r="Q5" s="53"/>
      <c r="R5" s="53"/>
      <c r="S5" s="53"/>
      <c r="T5" s="53"/>
      <c r="U5" s="53"/>
    </row>
    <row r="6" spans="1:21" x14ac:dyDescent="0.25">
      <c r="A6" s="59" t="s">
        <v>29</v>
      </c>
      <c r="B6" s="60" t="s">
        <v>106</v>
      </c>
      <c r="C6" s="106" t="s">
        <v>134</v>
      </c>
      <c r="D6" s="107"/>
      <c r="E6" s="61">
        <v>42607</v>
      </c>
      <c r="F6" s="61">
        <v>42641</v>
      </c>
      <c r="G6" s="61">
        <v>42688</v>
      </c>
      <c r="H6" s="61">
        <v>42688</v>
      </c>
      <c r="I6" s="61">
        <v>42713</v>
      </c>
      <c r="J6" s="61">
        <v>42765</v>
      </c>
      <c r="K6" s="62">
        <v>42794</v>
      </c>
      <c r="L6" s="62">
        <v>42812</v>
      </c>
      <c r="M6" s="62">
        <v>42852</v>
      </c>
      <c r="N6" s="62">
        <v>42885</v>
      </c>
      <c r="O6" s="62">
        <v>42899</v>
      </c>
      <c r="P6" s="62">
        <v>42946</v>
      </c>
      <c r="Q6" s="53"/>
      <c r="R6" s="53"/>
      <c r="S6" s="53"/>
      <c r="T6" s="53"/>
      <c r="U6" s="53"/>
    </row>
    <row r="7" spans="1:21" x14ac:dyDescent="0.25">
      <c r="A7" s="59" t="s">
        <v>107</v>
      </c>
      <c r="B7" s="60" t="s">
        <v>32</v>
      </c>
      <c r="C7" s="106" t="s">
        <v>134</v>
      </c>
      <c r="D7" s="107"/>
      <c r="E7" s="61">
        <v>42615</v>
      </c>
      <c r="F7" s="61">
        <v>42642</v>
      </c>
      <c r="G7" s="61">
        <v>42674</v>
      </c>
      <c r="H7" s="61">
        <v>42704</v>
      </c>
      <c r="I7" s="61">
        <v>42734</v>
      </c>
      <c r="J7" s="61">
        <v>42765</v>
      </c>
      <c r="K7" s="82"/>
      <c r="L7" s="61">
        <v>42824</v>
      </c>
      <c r="M7" s="62">
        <v>42853</v>
      </c>
      <c r="N7" s="62">
        <v>42885</v>
      </c>
      <c r="O7" s="62">
        <v>42916</v>
      </c>
      <c r="P7" s="62">
        <v>42933</v>
      </c>
      <c r="Q7" s="53"/>
      <c r="R7" s="53"/>
      <c r="S7" s="53"/>
      <c r="T7" s="53"/>
      <c r="U7" s="53"/>
    </row>
    <row r="8" spans="1:21" x14ac:dyDescent="0.25">
      <c r="A8" s="63" t="s">
        <v>37</v>
      </c>
      <c r="B8" s="64" t="s">
        <v>38</v>
      </c>
      <c r="C8" s="106" t="s">
        <v>134</v>
      </c>
      <c r="D8" s="107"/>
      <c r="E8" s="61">
        <v>42605</v>
      </c>
      <c r="F8" s="61">
        <v>42639</v>
      </c>
      <c r="G8" s="61">
        <v>42670</v>
      </c>
      <c r="H8" s="61">
        <v>42688</v>
      </c>
      <c r="I8" s="61">
        <v>42716</v>
      </c>
      <c r="J8" s="61">
        <v>42746</v>
      </c>
      <c r="K8" s="62">
        <v>42783</v>
      </c>
      <c r="L8" s="65">
        <v>42810</v>
      </c>
      <c r="M8" s="85">
        <v>42837</v>
      </c>
      <c r="N8" s="62">
        <v>42865</v>
      </c>
      <c r="O8" s="62">
        <v>42901</v>
      </c>
      <c r="P8" s="62">
        <v>42933</v>
      </c>
      <c r="Q8" s="53"/>
      <c r="R8" s="53"/>
      <c r="S8" s="53"/>
      <c r="T8" s="53"/>
      <c r="U8" s="53"/>
    </row>
    <row r="9" spans="1:21" x14ac:dyDescent="0.25">
      <c r="A9" s="59" t="s">
        <v>42</v>
      </c>
      <c r="B9" s="60" t="s">
        <v>111</v>
      </c>
      <c r="C9" s="106" t="s">
        <v>134</v>
      </c>
      <c r="D9" s="107"/>
      <c r="E9" s="82">
        <v>42794</v>
      </c>
      <c r="F9" s="83">
        <v>42802</v>
      </c>
      <c r="G9" s="83">
        <v>42810</v>
      </c>
      <c r="H9" s="83">
        <v>42814</v>
      </c>
      <c r="I9" s="83">
        <v>42817</v>
      </c>
      <c r="J9" s="82">
        <v>42818</v>
      </c>
      <c r="K9" s="82">
        <v>42832</v>
      </c>
      <c r="L9" s="83">
        <v>42832</v>
      </c>
      <c r="M9" s="82"/>
      <c r="N9" s="82"/>
      <c r="O9" s="82"/>
      <c r="P9" s="62"/>
      <c r="Q9" s="53"/>
      <c r="R9" s="53"/>
      <c r="S9" s="53"/>
      <c r="T9" s="53"/>
      <c r="U9" s="53"/>
    </row>
    <row r="10" spans="1:21" x14ac:dyDescent="0.25">
      <c r="A10" s="59" t="s">
        <v>47</v>
      </c>
      <c r="B10" s="60" t="s">
        <v>48</v>
      </c>
      <c r="C10" s="106" t="s">
        <v>134</v>
      </c>
      <c r="D10" s="107"/>
      <c r="E10" s="61">
        <v>42597</v>
      </c>
      <c r="F10" s="61">
        <v>42628</v>
      </c>
      <c r="G10" s="61">
        <v>42667</v>
      </c>
      <c r="H10" s="61">
        <v>42682</v>
      </c>
      <c r="I10" s="61">
        <v>42710</v>
      </c>
      <c r="J10" s="61">
        <v>42744</v>
      </c>
      <c r="K10" s="62" t="s">
        <v>155</v>
      </c>
      <c r="L10" s="62" t="s">
        <v>155</v>
      </c>
      <c r="M10" s="62" t="s">
        <v>155</v>
      </c>
      <c r="N10" s="62" t="s">
        <v>155</v>
      </c>
      <c r="O10" s="62" t="s">
        <v>155</v>
      </c>
      <c r="P10" s="62" t="s">
        <v>155</v>
      </c>
      <c r="Q10" s="53"/>
      <c r="R10" s="53"/>
      <c r="S10" s="53"/>
      <c r="T10" s="53"/>
      <c r="U10" s="53"/>
    </row>
    <row r="11" spans="1:21" x14ac:dyDescent="0.25">
      <c r="A11" s="63"/>
      <c r="B11" s="64"/>
      <c r="C11" s="106"/>
      <c r="D11" s="107"/>
      <c r="E11" s="61"/>
      <c r="F11" s="61"/>
      <c r="G11" s="61"/>
      <c r="H11" s="61"/>
      <c r="I11" s="61"/>
      <c r="J11" s="61"/>
      <c r="K11" s="62"/>
      <c r="L11" s="62"/>
      <c r="M11" s="62"/>
      <c r="N11" s="62"/>
      <c r="O11" s="62"/>
      <c r="P11" s="62"/>
      <c r="Q11" s="53"/>
      <c r="R11" s="53"/>
      <c r="S11" s="53"/>
      <c r="T11" s="53"/>
      <c r="U11" s="53"/>
    </row>
    <row r="12" spans="1:21" x14ac:dyDescent="0.25">
      <c r="A12" s="63"/>
      <c r="B12" s="64"/>
      <c r="C12" s="106"/>
      <c r="D12" s="107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53"/>
      <c r="R12" s="53"/>
      <c r="S12" s="53"/>
      <c r="T12" s="53"/>
      <c r="U12" s="53"/>
    </row>
    <row r="13" spans="1:21" x14ac:dyDescent="0.25">
      <c r="A13" s="117" t="s">
        <v>135</v>
      </c>
      <c r="B13" s="116" t="s">
        <v>0</v>
      </c>
      <c r="C13" s="117" t="s">
        <v>131</v>
      </c>
      <c r="D13" s="117"/>
      <c r="E13" s="186" t="s">
        <v>136</v>
      </c>
      <c r="F13" s="187"/>
      <c r="G13" s="188"/>
      <c r="H13" s="186" t="s">
        <v>137</v>
      </c>
      <c r="I13" s="187"/>
      <c r="J13" s="188"/>
      <c r="K13" s="186" t="s">
        <v>138</v>
      </c>
      <c r="L13" s="187"/>
      <c r="M13" s="188"/>
      <c r="N13" s="186" t="s">
        <v>139</v>
      </c>
      <c r="O13" s="187"/>
      <c r="P13" s="188"/>
      <c r="Q13" s="53"/>
      <c r="R13" s="53"/>
      <c r="S13" s="53"/>
      <c r="T13" s="53"/>
      <c r="U13" s="53"/>
    </row>
    <row r="14" spans="1:21" ht="15.75" thickBot="1" x14ac:dyDescent="0.3">
      <c r="A14" s="111" t="s">
        <v>84</v>
      </c>
      <c r="B14" s="109"/>
      <c r="C14" s="111" t="s">
        <v>133</v>
      </c>
      <c r="D14" s="112"/>
      <c r="E14" s="177">
        <v>42673</v>
      </c>
      <c r="F14" s="178"/>
      <c r="G14" s="179"/>
      <c r="H14" s="177">
        <v>42765</v>
      </c>
      <c r="I14" s="178">
        <v>41638</v>
      </c>
      <c r="J14" s="179">
        <v>41669</v>
      </c>
      <c r="K14" s="177">
        <v>42855</v>
      </c>
      <c r="L14" s="178">
        <v>41728</v>
      </c>
      <c r="M14" s="179">
        <v>41759</v>
      </c>
      <c r="N14" s="177">
        <v>42946</v>
      </c>
      <c r="O14" s="178">
        <v>41820</v>
      </c>
      <c r="P14" s="179">
        <v>41850</v>
      </c>
      <c r="Q14" s="53"/>
      <c r="R14" s="53"/>
      <c r="S14" s="53"/>
      <c r="T14" s="53"/>
      <c r="U14" s="53"/>
    </row>
    <row r="15" spans="1:21" ht="15.75" thickTop="1" x14ac:dyDescent="0.25">
      <c r="A15" s="59" t="s">
        <v>5</v>
      </c>
      <c r="B15" s="64" t="s">
        <v>101</v>
      </c>
      <c r="C15" s="106" t="s">
        <v>134</v>
      </c>
      <c r="D15" s="107"/>
      <c r="E15" s="174">
        <v>42676</v>
      </c>
      <c r="F15" s="175"/>
      <c r="G15" s="176"/>
      <c r="H15" s="189">
        <v>42762</v>
      </c>
      <c r="I15" s="190"/>
      <c r="J15" s="191"/>
      <c r="K15" s="180">
        <v>42827</v>
      </c>
      <c r="L15" s="181"/>
      <c r="M15" s="182"/>
      <c r="N15" s="121"/>
      <c r="O15" s="122"/>
      <c r="P15" s="123"/>
      <c r="Q15" s="53"/>
      <c r="R15" s="53"/>
      <c r="S15" s="53"/>
      <c r="T15" s="53"/>
      <c r="U15" s="53"/>
    </row>
    <row r="16" spans="1:21" x14ac:dyDescent="0.25">
      <c r="A16" s="63" t="s">
        <v>6</v>
      </c>
      <c r="B16" s="64" t="s">
        <v>7</v>
      </c>
      <c r="C16" s="106" t="s">
        <v>134</v>
      </c>
      <c r="D16" s="107"/>
      <c r="E16" s="165">
        <v>42668</v>
      </c>
      <c r="F16" s="166"/>
      <c r="G16" s="167"/>
      <c r="H16" s="165">
        <v>42764</v>
      </c>
      <c r="I16" s="166"/>
      <c r="J16" s="167"/>
      <c r="K16" s="165">
        <v>42851</v>
      </c>
      <c r="L16" s="166"/>
      <c r="M16" s="167"/>
      <c r="N16" s="121"/>
      <c r="O16" s="122">
        <v>42942</v>
      </c>
      <c r="P16" s="123"/>
      <c r="Q16" s="53"/>
      <c r="R16" s="53"/>
      <c r="S16" s="53"/>
      <c r="T16" s="53"/>
      <c r="U16" s="53"/>
    </row>
    <row r="17" spans="1:21" x14ac:dyDescent="0.25">
      <c r="A17" s="59" t="s">
        <v>6</v>
      </c>
      <c r="B17" s="64" t="s">
        <v>8</v>
      </c>
      <c r="C17" s="106" t="s">
        <v>134</v>
      </c>
      <c r="D17" s="107"/>
      <c r="E17" s="165">
        <v>42668</v>
      </c>
      <c r="F17" s="166"/>
      <c r="G17" s="167"/>
      <c r="H17" s="165">
        <v>42764</v>
      </c>
      <c r="I17" s="166"/>
      <c r="J17" s="167"/>
      <c r="K17" s="165">
        <v>42851</v>
      </c>
      <c r="L17" s="166"/>
      <c r="M17" s="167"/>
      <c r="N17" s="121"/>
      <c r="O17" s="153">
        <v>42942</v>
      </c>
      <c r="P17" s="123"/>
      <c r="Q17" s="53"/>
      <c r="R17" s="53"/>
      <c r="S17" s="53"/>
      <c r="T17" s="53"/>
      <c r="U17" s="53"/>
    </row>
    <row r="18" spans="1:21" x14ac:dyDescent="0.25">
      <c r="A18" s="63" t="s">
        <v>9</v>
      </c>
      <c r="B18" s="64" t="s">
        <v>10</v>
      </c>
      <c r="C18" s="106" t="s">
        <v>134</v>
      </c>
      <c r="D18" s="107"/>
      <c r="E18" s="165">
        <v>42660</v>
      </c>
      <c r="F18" s="166"/>
      <c r="G18" s="167"/>
      <c r="H18" s="165">
        <v>42758</v>
      </c>
      <c r="I18" s="166"/>
      <c r="J18" s="167"/>
      <c r="K18" s="165">
        <v>42842</v>
      </c>
      <c r="L18" s="166"/>
      <c r="M18" s="167"/>
      <c r="N18" s="121"/>
      <c r="O18" s="122">
        <v>42934</v>
      </c>
      <c r="P18" s="123"/>
      <c r="Q18" s="53"/>
      <c r="R18" s="53"/>
      <c r="S18" s="53"/>
      <c r="T18" s="53"/>
      <c r="U18" s="53"/>
    </row>
    <row r="19" spans="1:21" x14ac:dyDescent="0.25">
      <c r="A19" s="63" t="s">
        <v>11</v>
      </c>
      <c r="B19" s="64" t="s">
        <v>102</v>
      </c>
      <c r="C19" s="106" t="s">
        <v>134</v>
      </c>
      <c r="D19" s="107"/>
      <c r="E19" s="165">
        <v>42670</v>
      </c>
      <c r="F19" s="166"/>
      <c r="G19" s="167"/>
      <c r="H19" s="165">
        <v>42762</v>
      </c>
      <c r="I19" s="166"/>
      <c r="J19" s="167"/>
      <c r="K19" s="165">
        <v>42852</v>
      </c>
      <c r="L19" s="166"/>
      <c r="M19" s="167"/>
      <c r="N19" s="121"/>
      <c r="O19" s="122">
        <v>42941</v>
      </c>
      <c r="P19" s="123"/>
      <c r="Q19" s="53"/>
      <c r="R19" s="53"/>
      <c r="S19" s="53"/>
      <c r="T19" s="53"/>
      <c r="U19" s="53"/>
    </row>
    <row r="20" spans="1:21" x14ac:dyDescent="0.25">
      <c r="A20" s="63" t="s">
        <v>12</v>
      </c>
      <c r="B20" s="64" t="s">
        <v>13</v>
      </c>
      <c r="C20" s="106" t="s">
        <v>134</v>
      </c>
      <c r="D20" s="107"/>
      <c r="E20" s="165">
        <v>42670</v>
      </c>
      <c r="F20" s="166"/>
      <c r="G20" s="167"/>
      <c r="H20" s="165">
        <v>42759</v>
      </c>
      <c r="I20" s="166"/>
      <c r="J20" s="167"/>
      <c r="K20" s="165">
        <v>42850</v>
      </c>
      <c r="L20" s="166"/>
      <c r="M20" s="167"/>
      <c r="N20" s="121"/>
      <c r="O20" s="122">
        <v>42941</v>
      </c>
      <c r="P20" s="123"/>
      <c r="Q20" s="53"/>
      <c r="R20" s="53"/>
      <c r="S20" s="53"/>
      <c r="T20" s="53"/>
      <c r="U20" s="53"/>
    </row>
    <row r="21" spans="1:21" x14ac:dyDescent="0.25">
      <c r="A21" s="63" t="s">
        <v>14</v>
      </c>
      <c r="B21" s="64" t="s">
        <v>15</v>
      </c>
      <c r="C21" s="106" t="s">
        <v>134</v>
      </c>
      <c r="D21" s="107"/>
      <c r="E21" s="165">
        <v>42685</v>
      </c>
      <c r="F21" s="166"/>
      <c r="G21" s="167"/>
      <c r="H21" s="118"/>
      <c r="I21" s="119">
        <v>42727</v>
      </c>
      <c r="J21" s="120"/>
      <c r="K21" s="183"/>
      <c r="L21" s="184"/>
      <c r="M21" s="185"/>
      <c r="N21" s="121"/>
      <c r="O21" s="154"/>
      <c r="P21" s="123"/>
      <c r="Q21" s="53"/>
      <c r="R21" s="53"/>
      <c r="S21" s="53"/>
      <c r="T21" s="53"/>
      <c r="U21" s="53"/>
    </row>
    <row r="22" spans="1:21" x14ac:dyDescent="0.25">
      <c r="A22" s="59" t="s">
        <v>16</v>
      </c>
      <c r="B22" s="64" t="s">
        <v>17</v>
      </c>
      <c r="C22" s="106" t="s">
        <v>134</v>
      </c>
      <c r="D22" s="107"/>
      <c r="E22" s="165">
        <v>42671</v>
      </c>
      <c r="F22" s="166"/>
      <c r="G22" s="167"/>
      <c r="H22" s="165">
        <v>42760</v>
      </c>
      <c r="I22" s="166"/>
      <c r="J22" s="167"/>
      <c r="K22" s="165">
        <v>42844</v>
      </c>
      <c r="L22" s="166"/>
      <c r="M22" s="167"/>
      <c r="N22" s="121"/>
      <c r="O22" s="122">
        <v>42944</v>
      </c>
      <c r="P22" s="123"/>
      <c r="Q22" s="53"/>
      <c r="R22" s="53"/>
      <c r="S22" s="53"/>
      <c r="T22" s="53"/>
      <c r="U22" s="53"/>
    </row>
    <row r="23" spans="1:21" x14ac:dyDescent="0.25">
      <c r="A23" s="59" t="s">
        <v>20</v>
      </c>
      <c r="B23" s="64" t="s">
        <v>18</v>
      </c>
      <c r="C23" s="106" t="s">
        <v>134</v>
      </c>
      <c r="D23" s="107"/>
      <c r="E23" s="165">
        <v>42670</v>
      </c>
      <c r="F23" s="166"/>
      <c r="G23" s="167"/>
      <c r="H23" s="165">
        <v>42762</v>
      </c>
      <c r="I23" s="166"/>
      <c r="J23" s="167"/>
      <c r="K23" s="165">
        <v>42839</v>
      </c>
      <c r="L23" s="166"/>
      <c r="M23" s="167"/>
      <c r="N23" s="121"/>
      <c r="O23" s="122">
        <v>42944</v>
      </c>
      <c r="P23" s="123"/>
      <c r="Q23" s="53"/>
      <c r="R23" s="53"/>
      <c r="S23" s="53"/>
      <c r="T23" s="53"/>
      <c r="U23" s="53"/>
    </row>
    <row r="24" spans="1:21" x14ac:dyDescent="0.25">
      <c r="A24" s="59" t="s">
        <v>20</v>
      </c>
      <c r="B24" s="64" t="s">
        <v>21</v>
      </c>
      <c r="C24" s="106" t="s">
        <v>134</v>
      </c>
      <c r="D24" s="107"/>
      <c r="E24" s="165">
        <v>42670</v>
      </c>
      <c r="F24" s="166"/>
      <c r="G24" s="167"/>
      <c r="H24" s="165">
        <v>42762</v>
      </c>
      <c r="I24" s="166"/>
      <c r="J24" s="167"/>
      <c r="K24" s="165">
        <v>42839</v>
      </c>
      <c r="L24" s="166"/>
      <c r="M24" s="167"/>
      <c r="N24" s="121"/>
      <c r="O24" s="154">
        <v>42944</v>
      </c>
      <c r="P24" s="123"/>
      <c r="Q24" s="53"/>
      <c r="R24" s="53"/>
      <c r="S24" s="53"/>
      <c r="T24" s="53"/>
      <c r="U24" s="53"/>
    </row>
    <row r="25" spans="1:21" x14ac:dyDescent="0.25">
      <c r="A25" s="59" t="s">
        <v>20</v>
      </c>
      <c r="B25" s="64" t="s">
        <v>22</v>
      </c>
      <c r="C25" s="106" t="s">
        <v>134</v>
      </c>
      <c r="D25" s="107"/>
      <c r="E25" s="165">
        <v>42670</v>
      </c>
      <c r="F25" s="166"/>
      <c r="G25" s="167"/>
      <c r="H25" s="165">
        <v>42762</v>
      </c>
      <c r="I25" s="166"/>
      <c r="J25" s="167"/>
      <c r="K25" s="165">
        <v>42839</v>
      </c>
      <c r="L25" s="166"/>
      <c r="M25" s="167"/>
      <c r="N25" s="121"/>
      <c r="O25" s="154">
        <v>42944</v>
      </c>
      <c r="P25" s="123"/>
      <c r="Q25" s="53"/>
      <c r="R25" s="53"/>
      <c r="S25" s="53"/>
      <c r="T25" s="53"/>
      <c r="U25" s="53"/>
    </row>
    <row r="26" spans="1:21" x14ac:dyDescent="0.25">
      <c r="A26" s="59" t="s">
        <v>23</v>
      </c>
      <c r="B26" s="64" t="s">
        <v>104</v>
      </c>
      <c r="C26" s="106" t="s">
        <v>134</v>
      </c>
      <c r="D26" s="107"/>
      <c r="E26" s="165">
        <v>42683</v>
      </c>
      <c r="F26" s="166"/>
      <c r="G26" s="167"/>
      <c r="H26" s="165">
        <v>42766</v>
      </c>
      <c r="I26" s="166"/>
      <c r="J26" s="167"/>
      <c r="K26" s="174">
        <v>42856</v>
      </c>
      <c r="L26" s="175"/>
      <c r="M26" s="176"/>
      <c r="N26" s="121"/>
      <c r="O26" s="122">
        <v>42947</v>
      </c>
      <c r="P26" s="123"/>
      <c r="Q26" s="53"/>
      <c r="R26" s="53"/>
      <c r="S26" s="53"/>
      <c r="T26" s="53"/>
      <c r="U26" s="53"/>
    </row>
    <row r="27" spans="1:21" x14ac:dyDescent="0.25">
      <c r="A27" s="59" t="s">
        <v>24</v>
      </c>
      <c r="B27" s="64" t="s">
        <v>25</v>
      </c>
      <c r="C27" s="106" t="s">
        <v>134</v>
      </c>
      <c r="D27" s="107"/>
      <c r="E27" s="165">
        <v>42656</v>
      </c>
      <c r="F27" s="166"/>
      <c r="G27" s="167"/>
      <c r="H27" s="165">
        <v>42759</v>
      </c>
      <c r="I27" s="166"/>
      <c r="J27" s="167"/>
      <c r="K27" s="165">
        <v>42844</v>
      </c>
      <c r="L27" s="166"/>
      <c r="M27" s="167"/>
      <c r="N27" s="121"/>
      <c r="O27" s="122">
        <v>42933</v>
      </c>
      <c r="P27" s="123"/>
      <c r="Q27" s="53"/>
      <c r="R27" s="53"/>
      <c r="S27" s="53"/>
      <c r="T27" s="53"/>
      <c r="U27" s="53"/>
    </row>
    <row r="28" spans="1:21" x14ac:dyDescent="0.25">
      <c r="A28" s="63" t="s">
        <v>6</v>
      </c>
      <c r="B28" s="64" t="s">
        <v>26</v>
      </c>
      <c r="C28" s="106" t="s">
        <v>134</v>
      </c>
      <c r="D28" s="107"/>
      <c r="E28" s="165">
        <v>42668</v>
      </c>
      <c r="F28" s="166"/>
      <c r="G28" s="167"/>
      <c r="H28" s="165">
        <v>42765</v>
      </c>
      <c r="I28" s="166"/>
      <c r="J28" s="167"/>
      <c r="K28" s="165">
        <v>42851</v>
      </c>
      <c r="L28" s="166"/>
      <c r="M28" s="167"/>
      <c r="N28" s="121"/>
      <c r="O28" s="153">
        <v>42942</v>
      </c>
      <c r="P28" s="123"/>
      <c r="Q28" s="53"/>
      <c r="R28" s="53"/>
      <c r="S28" s="53"/>
      <c r="T28" s="53"/>
      <c r="U28" s="53"/>
    </row>
    <row r="29" spans="1:21" x14ac:dyDescent="0.25">
      <c r="A29" s="63" t="s">
        <v>28</v>
      </c>
      <c r="B29" s="64" t="s">
        <v>105</v>
      </c>
      <c r="C29" s="106" t="s">
        <v>134</v>
      </c>
      <c r="D29" s="107"/>
      <c r="E29" s="183">
        <v>42755</v>
      </c>
      <c r="F29" s="184"/>
      <c r="G29" s="185"/>
      <c r="H29" s="183"/>
      <c r="I29" s="184"/>
      <c r="J29" s="185"/>
      <c r="K29" s="124"/>
      <c r="L29" s="125"/>
      <c r="M29" s="126"/>
      <c r="N29" s="121"/>
      <c r="O29" s="122"/>
      <c r="P29" s="123"/>
      <c r="Q29" s="53"/>
      <c r="R29" s="53"/>
      <c r="S29" s="53"/>
      <c r="T29" s="53"/>
      <c r="U29" s="53"/>
    </row>
    <row r="30" spans="1:21" x14ac:dyDescent="0.25">
      <c r="A30" s="63" t="s">
        <v>6</v>
      </c>
      <c r="B30" s="64" t="s">
        <v>30</v>
      </c>
      <c r="C30" s="106" t="s">
        <v>134</v>
      </c>
      <c r="D30" s="107"/>
      <c r="E30" s="165">
        <v>42668</v>
      </c>
      <c r="F30" s="166"/>
      <c r="G30" s="167"/>
      <c r="H30" s="165">
        <v>42764</v>
      </c>
      <c r="I30" s="166"/>
      <c r="J30" s="167"/>
      <c r="K30" s="165">
        <v>42851</v>
      </c>
      <c r="L30" s="166"/>
      <c r="M30" s="167"/>
      <c r="N30" s="121"/>
      <c r="O30" s="153">
        <v>42942</v>
      </c>
      <c r="P30" s="123"/>
      <c r="Q30" s="53"/>
      <c r="R30" s="53"/>
      <c r="S30" s="53"/>
      <c r="T30" s="53"/>
      <c r="U30" s="53"/>
    </row>
    <row r="31" spans="1:21" x14ac:dyDescent="0.25">
      <c r="A31" s="63" t="s">
        <v>6</v>
      </c>
      <c r="B31" s="64" t="s">
        <v>31</v>
      </c>
      <c r="C31" s="106" t="s">
        <v>134</v>
      </c>
      <c r="D31" s="107"/>
      <c r="E31" s="165">
        <v>42668</v>
      </c>
      <c r="F31" s="166"/>
      <c r="G31" s="167"/>
      <c r="H31" s="165">
        <v>42764</v>
      </c>
      <c r="I31" s="166"/>
      <c r="J31" s="167"/>
      <c r="K31" s="165">
        <v>42851</v>
      </c>
      <c r="L31" s="166"/>
      <c r="M31" s="167"/>
      <c r="N31" s="121"/>
      <c r="O31" s="153">
        <v>42942</v>
      </c>
      <c r="P31" s="123"/>
      <c r="Q31" s="53"/>
      <c r="R31" s="53"/>
      <c r="S31" s="53"/>
      <c r="T31" s="53"/>
      <c r="U31" s="53"/>
    </row>
    <row r="32" spans="1:21" x14ac:dyDescent="0.25">
      <c r="A32" s="63" t="s">
        <v>6</v>
      </c>
      <c r="B32" s="64" t="s">
        <v>33</v>
      </c>
      <c r="C32" s="106" t="s">
        <v>134</v>
      </c>
      <c r="D32" s="107"/>
      <c r="E32" s="165">
        <v>42668</v>
      </c>
      <c r="F32" s="166"/>
      <c r="G32" s="167"/>
      <c r="H32" s="165">
        <v>42764</v>
      </c>
      <c r="I32" s="166"/>
      <c r="J32" s="167"/>
      <c r="K32" s="165">
        <v>42851</v>
      </c>
      <c r="L32" s="166"/>
      <c r="M32" s="167"/>
      <c r="N32" s="121"/>
      <c r="O32" s="153">
        <v>42942</v>
      </c>
      <c r="P32" s="123"/>
      <c r="Q32" s="53"/>
      <c r="R32" s="53"/>
      <c r="S32" s="53"/>
      <c r="T32" s="53"/>
      <c r="U32" s="53"/>
    </row>
    <row r="33" spans="1:21" x14ac:dyDescent="0.25">
      <c r="A33" s="59" t="s">
        <v>6</v>
      </c>
      <c r="B33" s="60" t="s">
        <v>34</v>
      </c>
      <c r="C33" s="106" t="s">
        <v>134</v>
      </c>
      <c r="D33" s="107"/>
      <c r="E33" s="165">
        <v>42668</v>
      </c>
      <c r="F33" s="166"/>
      <c r="G33" s="167"/>
      <c r="H33" s="165">
        <v>42764</v>
      </c>
      <c r="I33" s="166"/>
      <c r="J33" s="167"/>
      <c r="K33" s="165">
        <v>42851</v>
      </c>
      <c r="L33" s="166"/>
      <c r="M33" s="167"/>
      <c r="N33" s="121"/>
      <c r="O33" s="153">
        <v>42942</v>
      </c>
      <c r="P33" s="123"/>
      <c r="Q33" s="53"/>
      <c r="R33" s="53"/>
      <c r="S33" s="53"/>
      <c r="T33" s="53"/>
      <c r="U33" s="53"/>
    </row>
    <row r="34" spans="1:21" x14ac:dyDescent="0.25">
      <c r="A34" s="59" t="s">
        <v>35</v>
      </c>
      <c r="B34" s="64" t="s">
        <v>108</v>
      </c>
      <c r="C34" s="106" t="s">
        <v>134</v>
      </c>
      <c r="D34" s="107"/>
      <c r="E34" s="165">
        <v>42670</v>
      </c>
      <c r="F34" s="166"/>
      <c r="G34" s="167"/>
      <c r="H34" s="174">
        <v>42768</v>
      </c>
      <c r="I34" s="175"/>
      <c r="J34" s="176"/>
      <c r="K34" s="165">
        <v>42827</v>
      </c>
      <c r="L34" s="166"/>
      <c r="M34" s="167"/>
      <c r="N34" s="121"/>
      <c r="O34" s="154">
        <v>42944</v>
      </c>
      <c r="P34" s="123"/>
      <c r="Q34" s="53"/>
      <c r="R34" s="53"/>
      <c r="S34" s="53"/>
      <c r="T34" s="53"/>
      <c r="U34" s="53"/>
    </row>
    <row r="35" spans="1:21" x14ac:dyDescent="0.25">
      <c r="A35" s="59" t="s">
        <v>6</v>
      </c>
      <c r="B35" s="60" t="s">
        <v>109</v>
      </c>
      <c r="C35" s="106" t="s">
        <v>134</v>
      </c>
      <c r="D35" s="107"/>
      <c r="E35" s="165">
        <v>42668</v>
      </c>
      <c r="F35" s="166"/>
      <c r="G35" s="167"/>
      <c r="H35" s="165">
        <v>42764</v>
      </c>
      <c r="I35" s="166"/>
      <c r="J35" s="167"/>
      <c r="K35" s="165">
        <v>42851</v>
      </c>
      <c r="L35" s="166"/>
      <c r="M35" s="167"/>
      <c r="N35" s="121"/>
      <c r="O35" s="153">
        <v>42942</v>
      </c>
      <c r="P35" s="123"/>
      <c r="Q35" s="53"/>
      <c r="R35" s="53"/>
      <c r="S35" s="53"/>
      <c r="T35" s="53"/>
      <c r="U35" s="53"/>
    </row>
    <row r="36" spans="1:21" x14ac:dyDescent="0.25">
      <c r="A36" s="63" t="s">
        <v>6</v>
      </c>
      <c r="B36" s="64" t="s">
        <v>36</v>
      </c>
      <c r="C36" s="106" t="s">
        <v>134</v>
      </c>
      <c r="D36" s="107"/>
      <c r="E36" s="165">
        <v>42668</v>
      </c>
      <c r="F36" s="166"/>
      <c r="G36" s="167"/>
      <c r="H36" s="165">
        <v>42764</v>
      </c>
      <c r="I36" s="166"/>
      <c r="J36" s="167"/>
      <c r="K36" s="165">
        <v>42851</v>
      </c>
      <c r="L36" s="166"/>
      <c r="M36" s="167"/>
      <c r="N36" s="121"/>
      <c r="O36" s="153">
        <v>42942</v>
      </c>
      <c r="P36" s="123"/>
      <c r="Q36" s="53"/>
      <c r="R36" s="53"/>
      <c r="S36" s="53"/>
      <c r="T36" s="53"/>
      <c r="U36" s="53"/>
    </row>
    <row r="37" spans="1:21" x14ac:dyDescent="0.25">
      <c r="A37" s="59" t="s">
        <v>39</v>
      </c>
      <c r="B37" s="64" t="s">
        <v>110</v>
      </c>
      <c r="C37" s="106" t="s">
        <v>134</v>
      </c>
      <c r="D37" s="107"/>
      <c r="E37" s="183">
        <v>42741</v>
      </c>
      <c r="F37" s="184"/>
      <c r="G37" s="185"/>
      <c r="H37" s="165">
        <v>42752</v>
      </c>
      <c r="I37" s="166"/>
      <c r="J37" s="167"/>
      <c r="K37" s="165">
        <v>42842</v>
      </c>
      <c r="L37" s="166"/>
      <c r="M37" s="167"/>
      <c r="N37" s="121"/>
      <c r="O37" s="122">
        <v>42923</v>
      </c>
      <c r="P37" s="123"/>
      <c r="Q37" s="53"/>
      <c r="R37" s="53"/>
      <c r="S37" s="53"/>
      <c r="T37" s="53"/>
      <c r="U37" s="53"/>
    </row>
    <row r="38" spans="1:21" x14ac:dyDescent="0.25">
      <c r="A38" s="14" t="s">
        <v>40</v>
      </c>
      <c r="B38" s="60" t="s">
        <v>41</v>
      </c>
      <c r="C38" s="106" t="s">
        <v>134</v>
      </c>
      <c r="D38" s="107"/>
      <c r="E38" s="165">
        <v>42670</v>
      </c>
      <c r="F38" s="166"/>
      <c r="G38" s="167"/>
      <c r="H38" s="165">
        <v>42761</v>
      </c>
      <c r="I38" s="166"/>
      <c r="J38" s="167"/>
      <c r="K38" s="165">
        <v>42845</v>
      </c>
      <c r="L38" s="166"/>
      <c r="M38" s="167"/>
      <c r="N38" s="121"/>
      <c r="O38" s="122">
        <v>42929</v>
      </c>
      <c r="P38" s="123"/>
      <c r="Q38" s="53"/>
      <c r="R38" s="53"/>
      <c r="S38" s="53"/>
      <c r="T38" s="53"/>
      <c r="U38" s="53"/>
    </row>
    <row r="39" spans="1:21" x14ac:dyDescent="0.25">
      <c r="A39" s="63" t="s">
        <v>6</v>
      </c>
      <c r="B39" s="64" t="s">
        <v>44</v>
      </c>
      <c r="C39" s="106" t="s">
        <v>134</v>
      </c>
      <c r="D39" s="107"/>
      <c r="E39" s="165">
        <v>42668</v>
      </c>
      <c r="F39" s="166"/>
      <c r="G39" s="167"/>
      <c r="H39" s="165">
        <v>42764</v>
      </c>
      <c r="I39" s="166"/>
      <c r="J39" s="167"/>
      <c r="K39" s="165">
        <v>42851</v>
      </c>
      <c r="L39" s="166"/>
      <c r="M39" s="167"/>
      <c r="N39" s="121"/>
      <c r="O39" s="153">
        <v>42942</v>
      </c>
      <c r="P39" s="123"/>
      <c r="Q39" s="53"/>
      <c r="R39" s="53"/>
      <c r="S39" s="53"/>
      <c r="T39" s="53"/>
      <c r="U39" s="53"/>
    </row>
    <row r="40" spans="1:21" x14ac:dyDescent="0.25">
      <c r="A40" s="59" t="s">
        <v>6</v>
      </c>
      <c r="B40" s="64" t="s">
        <v>45</v>
      </c>
      <c r="C40" s="106" t="s">
        <v>134</v>
      </c>
      <c r="D40" s="107"/>
      <c r="E40" s="165">
        <v>42668</v>
      </c>
      <c r="F40" s="166"/>
      <c r="G40" s="167"/>
      <c r="H40" s="165">
        <v>42764</v>
      </c>
      <c r="I40" s="166"/>
      <c r="J40" s="167"/>
      <c r="K40" s="165">
        <v>42851</v>
      </c>
      <c r="L40" s="166"/>
      <c r="M40" s="167"/>
      <c r="N40" s="121"/>
      <c r="O40" s="153">
        <v>42942</v>
      </c>
      <c r="P40" s="123"/>
      <c r="Q40" s="53"/>
      <c r="R40" s="53"/>
      <c r="S40" s="53"/>
      <c r="T40" s="53"/>
      <c r="U40" s="53"/>
    </row>
    <row r="41" spans="1:21" x14ac:dyDescent="0.25">
      <c r="A41" s="59" t="s">
        <v>20</v>
      </c>
      <c r="B41" s="64" t="s">
        <v>46</v>
      </c>
      <c r="C41" s="106" t="s">
        <v>134</v>
      </c>
      <c r="D41" s="107"/>
      <c r="E41" s="168">
        <v>42670</v>
      </c>
      <c r="F41" s="169"/>
      <c r="G41" s="170"/>
      <c r="H41" s="168">
        <v>42762</v>
      </c>
      <c r="I41" s="169"/>
      <c r="J41" s="170"/>
      <c r="K41" s="168">
        <v>42839</v>
      </c>
      <c r="L41" s="169"/>
      <c r="M41" s="170"/>
      <c r="N41" s="121"/>
      <c r="O41" s="154">
        <v>42944</v>
      </c>
      <c r="P41" s="123"/>
      <c r="Q41" s="53"/>
      <c r="R41" s="53"/>
      <c r="S41" s="53"/>
      <c r="T41" s="53"/>
      <c r="U41" s="53"/>
    </row>
    <row r="42" spans="1:21" x14ac:dyDescent="0.25">
      <c r="A42" s="59" t="s">
        <v>6</v>
      </c>
      <c r="B42" s="64" t="s">
        <v>48</v>
      </c>
      <c r="C42" s="106" t="s">
        <v>134</v>
      </c>
      <c r="D42" s="107"/>
      <c r="E42" s="150"/>
      <c r="F42" s="151" t="s">
        <v>155</v>
      </c>
      <c r="G42" s="152"/>
      <c r="H42" s="168" t="s">
        <v>155</v>
      </c>
      <c r="I42" s="169"/>
      <c r="J42" s="170"/>
      <c r="K42" s="168">
        <v>42851</v>
      </c>
      <c r="L42" s="169"/>
      <c r="M42" s="170"/>
      <c r="N42" s="121"/>
      <c r="O42" s="153">
        <v>42942</v>
      </c>
      <c r="P42" s="123"/>
      <c r="Q42" s="53"/>
      <c r="R42" s="53"/>
      <c r="S42" s="53"/>
      <c r="T42" s="53"/>
      <c r="U42" s="53"/>
    </row>
    <row r="43" spans="1:21" x14ac:dyDescent="0.25">
      <c r="A43" s="63" t="s">
        <v>49</v>
      </c>
      <c r="B43" s="64" t="s">
        <v>50</v>
      </c>
      <c r="C43" s="106" t="s">
        <v>134</v>
      </c>
      <c r="D43" s="107"/>
      <c r="E43" s="168">
        <v>42670</v>
      </c>
      <c r="F43" s="169"/>
      <c r="G43" s="170"/>
      <c r="H43" s="168">
        <v>42762</v>
      </c>
      <c r="I43" s="169"/>
      <c r="J43" s="170"/>
      <c r="K43" s="168">
        <v>42850</v>
      </c>
      <c r="L43" s="169"/>
      <c r="M43" s="170"/>
      <c r="N43" s="121"/>
      <c r="O43" s="122">
        <v>42940</v>
      </c>
      <c r="P43" s="123"/>
      <c r="Q43" s="53"/>
      <c r="R43" s="53"/>
      <c r="S43" s="53"/>
      <c r="T43" s="53"/>
      <c r="U43" s="53"/>
    </row>
    <row r="44" spans="1:21" x14ac:dyDescent="0.25">
      <c r="A44" s="59" t="s">
        <v>51</v>
      </c>
      <c r="B44" s="64" t="s">
        <v>52</v>
      </c>
      <c r="C44" s="106" t="s">
        <v>134</v>
      </c>
      <c r="D44" s="107"/>
      <c r="E44" s="168">
        <v>42656</v>
      </c>
      <c r="F44" s="169"/>
      <c r="G44" s="170"/>
      <c r="H44" s="168">
        <v>42744</v>
      </c>
      <c r="I44" s="169"/>
      <c r="J44" s="170"/>
      <c r="K44" s="168">
        <v>42843</v>
      </c>
      <c r="L44" s="169"/>
      <c r="M44" s="170"/>
      <c r="N44" s="121"/>
      <c r="O44" s="122">
        <v>42923</v>
      </c>
      <c r="P44" s="123"/>
      <c r="Q44" s="53"/>
      <c r="R44" s="53"/>
      <c r="S44" s="53"/>
      <c r="T44" s="53"/>
      <c r="U44" s="53"/>
    </row>
    <row r="45" spans="1:21" x14ac:dyDescent="0.25">
      <c r="A45" s="63" t="s">
        <v>6</v>
      </c>
      <c r="B45" s="64" t="s">
        <v>54</v>
      </c>
      <c r="C45" s="106" t="s">
        <v>134</v>
      </c>
      <c r="D45" s="107"/>
      <c r="E45" s="168">
        <v>42668</v>
      </c>
      <c r="F45" s="169"/>
      <c r="G45" s="170"/>
      <c r="H45" s="168">
        <v>42764</v>
      </c>
      <c r="I45" s="169"/>
      <c r="J45" s="170"/>
      <c r="K45" s="165">
        <v>42851</v>
      </c>
      <c r="L45" s="166"/>
      <c r="M45" s="167"/>
      <c r="N45" s="121"/>
      <c r="O45" s="153">
        <v>42942</v>
      </c>
      <c r="P45" s="123"/>
      <c r="Q45" s="53"/>
      <c r="R45" s="53"/>
      <c r="S45" s="53"/>
      <c r="T45" s="53"/>
      <c r="U45" s="53"/>
    </row>
    <row r="46" spans="1:21" x14ac:dyDescent="0.25">
      <c r="A46" s="59" t="s">
        <v>6</v>
      </c>
      <c r="B46" s="64" t="s">
        <v>55</v>
      </c>
      <c r="C46" s="106" t="s">
        <v>134</v>
      </c>
      <c r="D46" s="107"/>
      <c r="E46" s="168">
        <v>42668</v>
      </c>
      <c r="F46" s="169"/>
      <c r="G46" s="170"/>
      <c r="H46" s="168">
        <v>42764</v>
      </c>
      <c r="I46" s="169"/>
      <c r="J46" s="170"/>
      <c r="K46" s="165">
        <v>42851</v>
      </c>
      <c r="L46" s="166"/>
      <c r="M46" s="167"/>
      <c r="N46" s="121"/>
      <c r="O46" s="153">
        <v>42942</v>
      </c>
      <c r="P46" s="123"/>
      <c r="Q46" s="53"/>
      <c r="R46" s="53"/>
      <c r="S46" s="53"/>
      <c r="T46" s="53"/>
      <c r="U46" s="53"/>
    </row>
    <row r="47" spans="1:21" x14ac:dyDescent="0.25">
      <c r="A47" s="63" t="s">
        <v>6</v>
      </c>
      <c r="B47" s="64" t="s">
        <v>56</v>
      </c>
      <c r="C47" s="106" t="s">
        <v>134</v>
      </c>
      <c r="D47" s="107"/>
      <c r="E47" s="168">
        <v>42668</v>
      </c>
      <c r="F47" s="169"/>
      <c r="G47" s="170"/>
      <c r="H47" s="168">
        <v>42764</v>
      </c>
      <c r="I47" s="169"/>
      <c r="J47" s="170"/>
      <c r="K47" s="165">
        <v>42851</v>
      </c>
      <c r="L47" s="166"/>
      <c r="M47" s="167"/>
      <c r="N47" s="121"/>
      <c r="O47" s="153">
        <v>42942</v>
      </c>
      <c r="P47" s="123"/>
      <c r="Q47" s="53"/>
      <c r="R47" s="53"/>
      <c r="S47" s="53"/>
      <c r="T47" s="53"/>
      <c r="U47" s="53"/>
    </row>
    <row r="48" spans="1:21" x14ac:dyDescent="0.25">
      <c r="A48" s="59" t="s">
        <v>59</v>
      </c>
      <c r="B48" s="64" t="s">
        <v>114</v>
      </c>
      <c r="C48" s="106" t="s">
        <v>134</v>
      </c>
      <c r="D48" s="107"/>
      <c r="E48" s="183">
        <v>42803</v>
      </c>
      <c r="F48" s="184"/>
      <c r="G48" s="185"/>
      <c r="H48" s="183">
        <v>42803</v>
      </c>
      <c r="I48" s="184"/>
      <c r="J48" s="185"/>
      <c r="K48" s="124"/>
      <c r="L48" s="125">
        <v>42915</v>
      </c>
      <c r="M48" s="126"/>
      <c r="N48" s="121"/>
      <c r="O48" s="122">
        <v>42915</v>
      </c>
      <c r="P48" s="123"/>
      <c r="Q48" s="53"/>
      <c r="R48" s="53"/>
      <c r="S48" s="53"/>
      <c r="T48" s="53"/>
      <c r="U48" s="53"/>
    </row>
    <row r="49" spans="1:21" x14ac:dyDescent="0.25">
      <c r="A49" s="63" t="s">
        <v>6</v>
      </c>
      <c r="B49" s="64" t="s">
        <v>115</v>
      </c>
      <c r="C49" s="106" t="s">
        <v>134</v>
      </c>
      <c r="D49" s="107"/>
      <c r="E49" s="168">
        <v>42668</v>
      </c>
      <c r="F49" s="169"/>
      <c r="G49" s="170"/>
      <c r="H49" s="168">
        <v>42764</v>
      </c>
      <c r="I49" s="169"/>
      <c r="J49" s="170"/>
      <c r="K49" s="165">
        <v>42851</v>
      </c>
      <c r="L49" s="166"/>
      <c r="M49" s="167"/>
      <c r="N49" s="121"/>
      <c r="O49" s="153">
        <v>42942</v>
      </c>
      <c r="P49" s="123"/>
      <c r="Q49" s="53"/>
      <c r="R49" s="53"/>
      <c r="S49" s="53"/>
      <c r="T49" s="53"/>
      <c r="U49" s="53"/>
    </row>
    <row r="50" spans="1:21" x14ac:dyDescent="0.25">
      <c r="A50" s="63" t="s">
        <v>6</v>
      </c>
      <c r="B50" s="64" t="s">
        <v>60</v>
      </c>
      <c r="C50" s="106" t="s">
        <v>134</v>
      </c>
      <c r="D50" s="107"/>
      <c r="E50" s="168">
        <v>42668</v>
      </c>
      <c r="F50" s="169"/>
      <c r="G50" s="170"/>
      <c r="H50" s="168">
        <v>42764</v>
      </c>
      <c r="I50" s="169"/>
      <c r="J50" s="170"/>
      <c r="K50" s="165">
        <v>42851</v>
      </c>
      <c r="L50" s="166"/>
      <c r="M50" s="167"/>
      <c r="N50" s="121"/>
      <c r="O50" s="153">
        <v>42942</v>
      </c>
      <c r="P50" s="123"/>
      <c r="Q50" s="53"/>
      <c r="R50" s="53"/>
      <c r="S50" s="53"/>
      <c r="T50" s="53"/>
      <c r="U50" s="53"/>
    </row>
    <row r="51" spans="1:21" x14ac:dyDescent="0.25">
      <c r="A51" s="63" t="s">
        <v>140</v>
      </c>
      <c r="B51" s="64" t="s">
        <v>116</v>
      </c>
      <c r="C51" s="106" t="s">
        <v>134</v>
      </c>
      <c r="D51" s="107"/>
      <c r="E51" s="168">
        <v>42671</v>
      </c>
      <c r="F51" s="169"/>
      <c r="G51" s="170"/>
      <c r="H51" s="168">
        <v>42765</v>
      </c>
      <c r="I51" s="169"/>
      <c r="J51" s="170"/>
      <c r="K51" s="168">
        <v>42852</v>
      </c>
      <c r="L51" s="169"/>
      <c r="M51" s="170"/>
      <c r="N51" s="121"/>
      <c r="O51" s="154">
        <v>42944</v>
      </c>
      <c r="P51" s="123"/>
      <c r="Q51" s="53"/>
      <c r="R51" s="53"/>
      <c r="S51" s="53"/>
      <c r="T51" s="53"/>
      <c r="U51" s="53"/>
    </row>
    <row r="52" spans="1:21" x14ac:dyDescent="0.25">
      <c r="A52" s="59" t="s">
        <v>6</v>
      </c>
      <c r="B52" s="64" t="s">
        <v>62</v>
      </c>
      <c r="C52" s="106" t="s">
        <v>134</v>
      </c>
      <c r="D52" s="107"/>
      <c r="E52" s="168">
        <v>42668</v>
      </c>
      <c r="F52" s="169"/>
      <c r="G52" s="170"/>
      <c r="H52" s="168">
        <v>42764</v>
      </c>
      <c r="I52" s="169"/>
      <c r="J52" s="170"/>
      <c r="K52" s="165">
        <v>42851</v>
      </c>
      <c r="L52" s="166"/>
      <c r="M52" s="167"/>
      <c r="N52" s="121"/>
      <c r="O52" s="153">
        <v>42942</v>
      </c>
      <c r="P52" s="123"/>
      <c r="Q52" s="53"/>
      <c r="R52" s="53"/>
      <c r="S52" s="53"/>
      <c r="T52" s="53"/>
      <c r="U52" s="53"/>
    </row>
    <row r="53" spans="1:21" x14ac:dyDescent="0.25">
      <c r="A53" s="59" t="s">
        <v>6</v>
      </c>
      <c r="B53" s="64" t="s">
        <v>63</v>
      </c>
      <c r="C53" s="106" t="s">
        <v>134</v>
      </c>
      <c r="D53" s="107"/>
      <c r="E53" s="168">
        <v>42668</v>
      </c>
      <c r="F53" s="169"/>
      <c r="G53" s="170"/>
      <c r="H53" s="168">
        <v>42764</v>
      </c>
      <c r="I53" s="169"/>
      <c r="J53" s="170"/>
      <c r="K53" s="165">
        <v>42851</v>
      </c>
      <c r="L53" s="166"/>
      <c r="M53" s="167"/>
      <c r="N53" s="121"/>
      <c r="O53" s="153">
        <v>42942</v>
      </c>
      <c r="P53" s="123"/>
      <c r="Q53" s="53"/>
      <c r="R53" s="53"/>
      <c r="S53" s="53"/>
      <c r="T53" s="53"/>
      <c r="U53" s="53"/>
    </row>
    <row r="54" spans="1:21" x14ac:dyDescent="0.25">
      <c r="A54" s="59" t="s">
        <v>6</v>
      </c>
      <c r="B54" s="64" t="s">
        <v>64</v>
      </c>
      <c r="C54" s="106" t="s">
        <v>134</v>
      </c>
      <c r="D54" s="107"/>
      <c r="E54" s="168">
        <v>42668</v>
      </c>
      <c r="F54" s="169"/>
      <c r="G54" s="170"/>
      <c r="H54" s="168">
        <v>42765</v>
      </c>
      <c r="I54" s="169"/>
      <c r="J54" s="170"/>
      <c r="K54" s="165">
        <v>42851</v>
      </c>
      <c r="L54" s="166"/>
      <c r="M54" s="167"/>
      <c r="N54" s="121"/>
      <c r="O54" s="153">
        <v>42942</v>
      </c>
      <c r="P54" s="123"/>
      <c r="Q54" s="53"/>
      <c r="R54" s="53"/>
      <c r="S54" s="53"/>
      <c r="T54" s="53"/>
      <c r="U54" s="53"/>
    </row>
    <row r="55" spans="1:21" ht="15" customHeight="1" x14ac:dyDescent="0.25">
      <c r="A55" s="59" t="s">
        <v>6</v>
      </c>
      <c r="B55" s="64" t="s">
        <v>67</v>
      </c>
      <c r="C55" s="106" t="s">
        <v>134</v>
      </c>
      <c r="D55" s="107"/>
      <c r="E55" s="168">
        <v>42668</v>
      </c>
      <c r="F55" s="169"/>
      <c r="G55" s="170"/>
      <c r="H55" s="168">
        <v>42765</v>
      </c>
      <c r="I55" s="169"/>
      <c r="J55" s="170"/>
      <c r="K55" s="165">
        <v>42851</v>
      </c>
      <c r="L55" s="166"/>
      <c r="M55" s="167"/>
      <c r="N55" s="121"/>
      <c r="O55" s="153">
        <v>42942</v>
      </c>
      <c r="P55" s="123"/>
      <c r="Q55" s="53"/>
      <c r="R55" s="53"/>
      <c r="S55" s="53"/>
      <c r="T55" s="53"/>
      <c r="U55" s="53"/>
    </row>
    <row r="56" spans="1:21" x14ac:dyDescent="0.25">
      <c r="A56" s="59" t="s">
        <v>6</v>
      </c>
      <c r="B56" s="64" t="s">
        <v>119</v>
      </c>
      <c r="C56" s="106" t="s">
        <v>134</v>
      </c>
      <c r="D56" s="107"/>
      <c r="E56" s="168">
        <v>42668</v>
      </c>
      <c r="F56" s="169"/>
      <c r="G56" s="170"/>
      <c r="H56" s="168">
        <v>42764</v>
      </c>
      <c r="I56" s="169"/>
      <c r="J56" s="170"/>
      <c r="K56" s="165">
        <v>42851</v>
      </c>
      <c r="L56" s="166"/>
      <c r="M56" s="167"/>
      <c r="N56" s="121"/>
      <c r="O56" s="153">
        <v>42942</v>
      </c>
      <c r="P56" s="123"/>
      <c r="Q56" s="53"/>
      <c r="R56" s="53"/>
      <c r="S56" s="53"/>
      <c r="T56" s="53"/>
      <c r="U56" s="53"/>
    </row>
    <row r="57" spans="1:21" x14ac:dyDescent="0.25">
      <c r="A57" s="67"/>
      <c r="B57" s="68"/>
      <c r="C57" s="68"/>
      <c r="D57" s="68"/>
      <c r="E57" s="66"/>
      <c r="F57" s="66"/>
      <c r="G57" s="66"/>
      <c r="H57" s="130"/>
      <c r="I57" s="130"/>
      <c r="J57" s="130"/>
      <c r="K57" s="66"/>
      <c r="L57" s="66"/>
      <c r="M57" s="66"/>
      <c r="N57" s="66"/>
      <c r="O57" s="66"/>
      <c r="P57" s="66"/>
      <c r="Q57" s="53"/>
      <c r="R57" s="53"/>
      <c r="S57" s="53"/>
      <c r="T57" s="53"/>
      <c r="U57" s="53"/>
    </row>
    <row r="58" spans="1:21" x14ac:dyDescent="0.25">
      <c r="A58" s="110" t="s">
        <v>141</v>
      </c>
      <c r="B58" s="108" t="s">
        <v>0</v>
      </c>
      <c r="C58" s="110" t="s">
        <v>131</v>
      </c>
      <c r="D58" s="110"/>
      <c r="E58" s="196" t="s">
        <v>142</v>
      </c>
      <c r="F58" s="197"/>
      <c r="G58" s="197"/>
      <c r="H58" s="197"/>
      <c r="I58" s="197"/>
      <c r="J58" s="198"/>
      <c r="K58" s="196" t="s">
        <v>143</v>
      </c>
      <c r="L58" s="197"/>
      <c r="M58" s="197"/>
      <c r="N58" s="197"/>
      <c r="O58" s="197"/>
      <c r="P58" s="198"/>
      <c r="Q58" s="53"/>
      <c r="R58" s="53"/>
      <c r="S58" s="53"/>
      <c r="T58" s="53"/>
      <c r="U58" s="53"/>
    </row>
    <row r="59" spans="1:21" ht="15.75" thickBot="1" x14ac:dyDescent="0.3">
      <c r="A59" s="69" t="s">
        <v>84</v>
      </c>
      <c r="B59" s="109"/>
      <c r="C59" s="111" t="s">
        <v>133</v>
      </c>
      <c r="D59" s="112"/>
      <c r="E59" s="177">
        <v>42765</v>
      </c>
      <c r="F59" s="178"/>
      <c r="G59" s="178"/>
      <c r="H59" s="178"/>
      <c r="I59" s="178"/>
      <c r="J59" s="179"/>
      <c r="K59" s="177">
        <v>42946</v>
      </c>
      <c r="L59" s="178">
        <v>41728</v>
      </c>
      <c r="M59" s="178">
        <v>41759</v>
      </c>
      <c r="N59" s="178">
        <v>41850</v>
      </c>
      <c r="O59" s="178">
        <v>41820</v>
      </c>
      <c r="P59" s="179">
        <v>41850</v>
      </c>
      <c r="Q59" s="53"/>
      <c r="R59" s="53"/>
      <c r="S59" s="53"/>
      <c r="T59" s="53"/>
      <c r="U59" s="53"/>
    </row>
    <row r="60" spans="1:21" ht="15.75" thickTop="1" x14ac:dyDescent="0.25">
      <c r="A60" s="59" t="s">
        <v>151</v>
      </c>
      <c r="B60" s="64" t="s">
        <v>27</v>
      </c>
      <c r="C60" s="106" t="s">
        <v>134</v>
      </c>
      <c r="D60" s="107"/>
      <c r="E60" s="165">
        <v>42760</v>
      </c>
      <c r="F60" s="192"/>
      <c r="G60" s="192"/>
      <c r="H60" s="192"/>
      <c r="I60" s="192"/>
      <c r="J60" s="193"/>
      <c r="K60" s="168">
        <v>42943</v>
      </c>
      <c r="L60" s="194"/>
      <c r="M60" s="194"/>
      <c r="N60" s="194"/>
      <c r="O60" s="194"/>
      <c r="P60" s="195"/>
      <c r="Q60" s="53"/>
      <c r="R60" s="53"/>
      <c r="S60" s="53"/>
      <c r="T60" s="53"/>
      <c r="U60" s="53"/>
    </row>
    <row r="61" spans="1:21" x14ac:dyDescent="0.25">
      <c r="A61" s="63" t="s">
        <v>43</v>
      </c>
      <c r="B61" s="64" t="s">
        <v>112</v>
      </c>
      <c r="C61" s="106" t="s">
        <v>134</v>
      </c>
      <c r="D61" s="107"/>
      <c r="E61" s="199">
        <v>42766</v>
      </c>
      <c r="F61" s="200"/>
      <c r="G61" s="200"/>
      <c r="H61" s="200"/>
      <c r="I61" s="200"/>
      <c r="J61" s="201"/>
      <c r="K61" s="168">
        <v>42948</v>
      </c>
      <c r="L61" s="194"/>
      <c r="M61" s="194"/>
      <c r="N61" s="194"/>
      <c r="O61" s="194"/>
      <c r="P61" s="195"/>
      <c r="Q61" s="53"/>
      <c r="R61" s="53"/>
      <c r="S61" s="53"/>
      <c r="T61" s="53"/>
      <c r="U61" s="53"/>
    </row>
    <row r="62" spans="1:21" x14ac:dyDescent="0.25">
      <c r="A62" s="63" t="s">
        <v>53</v>
      </c>
      <c r="B62" s="64" t="s">
        <v>113</v>
      </c>
      <c r="C62" s="106" t="s">
        <v>134</v>
      </c>
      <c r="D62" s="107"/>
      <c r="E62" s="168">
        <v>42766</v>
      </c>
      <c r="F62" s="194"/>
      <c r="G62" s="194"/>
      <c r="H62" s="194"/>
      <c r="I62" s="194"/>
      <c r="J62" s="195"/>
      <c r="K62" s="168"/>
      <c r="L62" s="194"/>
      <c r="M62" s="194"/>
      <c r="N62" s="194"/>
      <c r="O62" s="194"/>
      <c r="P62" s="195"/>
      <c r="Q62" s="53"/>
      <c r="R62" s="53"/>
      <c r="S62" s="53"/>
      <c r="T62" s="53"/>
      <c r="U62" s="53"/>
    </row>
    <row r="63" spans="1:21" x14ac:dyDescent="0.25">
      <c r="A63" s="59" t="s">
        <v>57</v>
      </c>
      <c r="B63" s="64" t="s">
        <v>58</v>
      </c>
      <c r="C63" s="106" t="s">
        <v>134</v>
      </c>
      <c r="D63" s="107"/>
      <c r="E63" s="165">
        <v>42755</v>
      </c>
      <c r="F63" s="192"/>
      <c r="G63" s="192"/>
      <c r="H63" s="192"/>
      <c r="I63" s="192"/>
      <c r="J63" s="193"/>
      <c r="K63" s="168">
        <v>42921</v>
      </c>
      <c r="L63" s="194"/>
      <c r="M63" s="194"/>
      <c r="N63" s="194"/>
      <c r="O63" s="194"/>
      <c r="P63" s="195"/>
      <c r="Q63" s="53"/>
      <c r="R63" s="53"/>
      <c r="S63" s="53"/>
      <c r="T63" s="53"/>
      <c r="U63" s="53"/>
    </row>
    <row r="64" spans="1:21" ht="15" customHeight="1" x14ac:dyDescent="0.25">
      <c r="A64" s="63" t="s">
        <v>65</v>
      </c>
      <c r="B64" s="64" t="s">
        <v>66</v>
      </c>
      <c r="C64" s="106" t="s">
        <v>134</v>
      </c>
      <c r="D64" s="107"/>
      <c r="E64" s="165">
        <v>42766</v>
      </c>
      <c r="F64" s="166"/>
      <c r="G64" s="166"/>
      <c r="H64" s="166"/>
      <c r="I64" s="166"/>
      <c r="J64" s="167"/>
      <c r="K64" s="168">
        <v>42947</v>
      </c>
      <c r="L64" s="169"/>
      <c r="M64" s="169"/>
      <c r="N64" s="169"/>
      <c r="O64" s="169"/>
      <c r="P64" s="170"/>
      <c r="Q64" s="53"/>
      <c r="R64" s="53"/>
      <c r="S64" s="53"/>
      <c r="T64" s="53"/>
      <c r="U64" s="53"/>
    </row>
    <row r="65" spans="1:21" ht="15" customHeight="1" x14ac:dyDescent="0.25">
      <c r="A65" s="63" t="s">
        <v>68</v>
      </c>
      <c r="B65" s="64" t="s">
        <v>69</v>
      </c>
      <c r="C65" s="106" t="s">
        <v>134</v>
      </c>
      <c r="D65" s="107"/>
      <c r="E65" s="165">
        <v>42760</v>
      </c>
      <c r="F65" s="192"/>
      <c r="G65" s="192"/>
      <c r="H65" s="192"/>
      <c r="I65" s="192"/>
      <c r="J65" s="193"/>
      <c r="K65" s="202"/>
      <c r="L65" s="203"/>
      <c r="M65" s="203"/>
      <c r="N65" s="203"/>
      <c r="O65" s="203"/>
      <c r="P65" s="204"/>
      <c r="Q65" s="53"/>
      <c r="R65" s="53"/>
      <c r="S65" s="53"/>
      <c r="T65" s="53"/>
      <c r="U65" s="53"/>
    </row>
    <row r="66" spans="1:21" ht="15" hidden="1" customHeight="1" x14ac:dyDescent="0.25">
      <c r="Q66" s="53"/>
      <c r="R66" s="53"/>
      <c r="S66" s="53"/>
      <c r="T66" s="53"/>
      <c r="U66" s="53"/>
    </row>
    <row r="67" spans="1:21" x14ac:dyDescent="0.25">
      <c r="Q67" s="53"/>
      <c r="R67" s="53"/>
      <c r="S67" s="53"/>
      <c r="T67" s="53"/>
      <c r="U67" s="53"/>
    </row>
    <row r="68" spans="1:21" x14ac:dyDescent="0.25">
      <c r="Q68" s="53"/>
      <c r="R68" s="53"/>
      <c r="S68" s="53"/>
      <c r="T68" s="53"/>
      <c r="U68" s="53"/>
    </row>
    <row r="69" spans="1:21" x14ac:dyDescent="0.25"/>
    <row r="70" spans="1:21" x14ac:dyDescent="0.25"/>
    <row r="71" spans="1:21" x14ac:dyDescent="0.25"/>
  </sheetData>
  <mergeCells count="147">
    <mergeCell ref="H33:J33"/>
    <mergeCell ref="H34:J34"/>
    <mergeCell ref="H35:J35"/>
    <mergeCell ref="H36:J36"/>
    <mergeCell ref="H25:J25"/>
    <mergeCell ref="H26:J26"/>
    <mergeCell ref="H27:J27"/>
    <mergeCell ref="H28:J28"/>
    <mergeCell ref="H29:J29"/>
    <mergeCell ref="H30:J30"/>
    <mergeCell ref="H31:J31"/>
    <mergeCell ref="H32:J32"/>
    <mergeCell ref="K30:M30"/>
    <mergeCell ref="K31:M31"/>
    <mergeCell ref="K32:M32"/>
    <mergeCell ref="K33:M33"/>
    <mergeCell ref="K34:M34"/>
    <mergeCell ref="K35:M35"/>
    <mergeCell ref="E65:J65"/>
    <mergeCell ref="K65:P65"/>
    <mergeCell ref="K23:M23"/>
    <mergeCell ref="K24:M24"/>
    <mergeCell ref="K25:M25"/>
    <mergeCell ref="K26:M26"/>
    <mergeCell ref="K27:M27"/>
    <mergeCell ref="K28:M28"/>
    <mergeCell ref="H55:J55"/>
    <mergeCell ref="H56:J56"/>
    <mergeCell ref="H49:J49"/>
    <mergeCell ref="H50:J50"/>
    <mergeCell ref="H51:J51"/>
    <mergeCell ref="H52:J52"/>
    <mergeCell ref="H53:J53"/>
    <mergeCell ref="H54:J54"/>
    <mergeCell ref="H43:J43"/>
    <mergeCell ref="H44:J44"/>
    <mergeCell ref="K36:M36"/>
    <mergeCell ref="K37:M37"/>
    <mergeCell ref="K38:M38"/>
    <mergeCell ref="K39:M39"/>
    <mergeCell ref="K40:M40"/>
    <mergeCell ref="K41:M41"/>
    <mergeCell ref="E61:J61"/>
    <mergeCell ref="K61:P61"/>
    <mergeCell ref="E64:J64"/>
    <mergeCell ref="K64:P64"/>
    <mergeCell ref="E62:J62"/>
    <mergeCell ref="K62:P62"/>
    <mergeCell ref="E63:J63"/>
    <mergeCell ref="K63:P63"/>
    <mergeCell ref="H45:J45"/>
    <mergeCell ref="H46:J46"/>
    <mergeCell ref="H47:J47"/>
    <mergeCell ref="H48:J48"/>
    <mergeCell ref="H37:J37"/>
    <mergeCell ref="H38:J38"/>
    <mergeCell ref="H39:J39"/>
    <mergeCell ref="H40:J40"/>
    <mergeCell ref="H41:J41"/>
    <mergeCell ref="H42:J42"/>
    <mergeCell ref="E56:G56"/>
    <mergeCell ref="E60:J60"/>
    <mergeCell ref="K60:P60"/>
    <mergeCell ref="E58:J58"/>
    <mergeCell ref="K58:P58"/>
    <mergeCell ref="E59:J59"/>
    <mergeCell ref="K59:P59"/>
    <mergeCell ref="K49:M49"/>
    <mergeCell ref="K50:M50"/>
    <mergeCell ref="K51:M51"/>
    <mergeCell ref="K52:M52"/>
    <mergeCell ref="K53:M53"/>
    <mergeCell ref="K54:M54"/>
    <mergeCell ref="K56:M56"/>
    <mergeCell ref="E48:G48"/>
    <mergeCell ref="E49:G49"/>
    <mergeCell ref="E50:G50"/>
    <mergeCell ref="E53:G53"/>
    <mergeCell ref="E54:G54"/>
    <mergeCell ref="E51:G51"/>
    <mergeCell ref="E52:G52"/>
    <mergeCell ref="K55:M55"/>
    <mergeCell ref="K42:M42"/>
    <mergeCell ref="K43:M43"/>
    <mergeCell ref="K44:M44"/>
    <mergeCell ref="K45:M45"/>
    <mergeCell ref="K46:M46"/>
    <mergeCell ref="K47:M47"/>
    <mergeCell ref="E55:G55"/>
    <mergeCell ref="E43:G43"/>
    <mergeCell ref="E44:G44"/>
    <mergeCell ref="E45:G45"/>
    <mergeCell ref="E46:G46"/>
    <mergeCell ref="E13:G13"/>
    <mergeCell ref="H13:J13"/>
    <mergeCell ref="K13:M13"/>
    <mergeCell ref="N13:P13"/>
    <mergeCell ref="E24:G24"/>
    <mergeCell ref="E25:G25"/>
    <mergeCell ref="E26:G26"/>
    <mergeCell ref="E27:G27"/>
    <mergeCell ref="E28:G28"/>
    <mergeCell ref="K20:M20"/>
    <mergeCell ref="K21:M21"/>
    <mergeCell ref="K22:M22"/>
    <mergeCell ref="H15:J15"/>
    <mergeCell ref="H16:J16"/>
    <mergeCell ref="H17:J17"/>
    <mergeCell ref="H18:J18"/>
    <mergeCell ref="H19:J19"/>
    <mergeCell ref="H20:J20"/>
    <mergeCell ref="H22:J22"/>
    <mergeCell ref="H23:J23"/>
    <mergeCell ref="H24:J24"/>
    <mergeCell ref="E29:G29"/>
    <mergeCell ref="E30:G30"/>
    <mergeCell ref="E31:G31"/>
    <mergeCell ref="E34:G34"/>
    <mergeCell ref="E32:G32"/>
    <mergeCell ref="E33:G33"/>
    <mergeCell ref="E35:G35"/>
    <mergeCell ref="E36:G36"/>
    <mergeCell ref="E37:G37"/>
    <mergeCell ref="E38:G38"/>
    <mergeCell ref="E41:G41"/>
    <mergeCell ref="E39:G39"/>
    <mergeCell ref="E40:G40"/>
    <mergeCell ref="E47:G47"/>
    <mergeCell ref="A1:P1"/>
    <mergeCell ref="E15:G15"/>
    <mergeCell ref="E16:G16"/>
    <mergeCell ref="E17:G17"/>
    <mergeCell ref="E18:G18"/>
    <mergeCell ref="E19:G19"/>
    <mergeCell ref="E20:G20"/>
    <mergeCell ref="E23:G23"/>
    <mergeCell ref="E21:G21"/>
    <mergeCell ref="E22:G22"/>
    <mergeCell ref="E14:G14"/>
    <mergeCell ref="H14:J14"/>
    <mergeCell ref="K14:M14"/>
    <mergeCell ref="N14:P14"/>
    <mergeCell ref="K15:M15"/>
    <mergeCell ref="K16:M16"/>
    <mergeCell ref="K17:M17"/>
    <mergeCell ref="K18:M18"/>
    <mergeCell ref="K19:M1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Detail</vt:lpstr>
      <vt:lpstr>Request Dates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Garrett McGrath</dc:creator>
  <cp:lastModifiedBy>Katelyn Wissler</cp:lastModifiedBy>
  <cp:lastPrinted>2017-08-03T17:22:22Z</cp:lastPrinted>
  <dcterms:created xsi:type="dcterms:W3CDTF">2016-07-06T15:57:40Z</dcterms:created>
  <dcterms:modified xsi:type="dcterms:W3CDTF">2017-11-07T18:57:28Z</dcterms:modified>
</cp:coreProperties>
</file>